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F3C685FC-AD7B-490F-ADE1-938E1C54E639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able 2.6a-f" sheetId="23" r:id="rId1"/>
  </sheets>
  <definedNames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7" i="23" l="1"/>
  <c r="V107" i="23"/>
  <c r="U107" i="23"/>
  <c r="T107" i="23"/>
  <c r="K107" i="23"/>
  <c r="J107" i="23"/>
  <c r="I107" i="23"/>
  <c r="H107" i="23"/>
  <c r="G107" i="23"/>
  <c r="W106" i="23"/>
  <c r="V106" i="23"/>
  <c r="U106" i="23"/>
  <c r="T106" i="23"/>
  <c r="K106" i="23"/>
  <c r="J106" i="23"/>
  <c r="I106" i="23"/>
  <c r="H106" i="23"/>
  <c r="G106" i="23"/>
  <c r="W103" i="23"/>
  <c r="V103" i="23"/>
  <c r="U103" i="23"/>
  <c r="T103" i="23"/>
  <c r="S103" i="23"/>
  <c r="K103" i="23"/>
  <c r="J103" i="23"/>
  <c r="I103" i="23"/>
  <c r="H103" i="23"/>
  <c r="G103" i="23"/>
  <c r="W102" i="23"/>
  <c r="V102" i="23"/>
  <c r="U102" i="23"/>
  <c r="T102" i="23"/>
  <c r="S102" i="23"/>
  <c r="K102" i="23"/>
  <c r="J102" i="23"/>
  <c r="I102" i="23"/>
  <c r="H102" i="23"/>
  <c r="G102" i="23"/>
  <c r="W101" i="23"/>
  <c r="V101" i="23"/>
  <c r="U101" i="23"/>
  <c r="T101" i="23"/>
  <c r="S101" i="23"/>
  <c r="K101" i="23"/>
  <c r="J101" i="23"/>
  <c r="I101" i="23"/>
  <c r="H101" i="23"/>
  <c r="G101" i="23"/>
  <c r="W27" i="23"/>
  <c r="W66" i="23"/>
  <c r="W100" i="23"/>
  <c r="V27" i="23"/>
  <c r="V66" i="23"/>
  <c r="V100" i="23"/>
  <c r="U27" i="23"/>
  <c r="U66" i="23"/>
  <c r="U100" i="23"/>
  <c r="T27" i="23"/>
  <c r="T66" i="23"/>
  <c r="T100" i="23"/>
  <c r="S27" i="23"/>
  <c r="S66" i="23"/>
  <c r="S100" i="23"/>
  <c r="K27" i="23"/>
  <c r="K66" i="23"/>
  <c r="K100" i="23"/>
  <c r="J27" i="23"/>
  <c r="J66" i="23"/>
  <c r="J100" i="23"/>
  <c r="I27" i="23"/>
  <c r="I66" i="23"/>
  <c r="I100" i="23"/>
  <c r="H27" i="23"/>
  <c r="H66" i="23"/>
  <c r="H100" i="23"/>
  <c r="G27" i="23"/>
  <c r="G66" i="23"/>
  <c r="G100" i="23"/>
  <c r="W99" i="23"/>
  <c r="V99" i="23"/>
  <c r="U99" i="23"/>
  <c r="T99" i="23"/>
  <c r="S99" i="23"/>
  <c r="K99" i="23"/>
  <c r="J99" i="23"/>
  <c r="I99" i="23"/>
  <c r="H99" i="23"/>
  <c r="G99" i="23"/>
  <c r="V95" i="23"/>
  <c r="U95" i="23"/>
  <c r="T95" i="23"/>
  <c r="S95" i="23"/>
  <c r="G95" i="23"/>
  <c r="W92" i="23"/>
  <c r="V92" i="23"/>
  <c r="U92" i="23"/>
  <c r="T92" i="23"/>
  <c r="S92" i="23"/>
  <c r="R92" i="23"/>
  <c r="K92" i="23"/>
  <c r="J92" i="23"/>
  <c r="I92" i="23"/>
  <c r="H92" i="23"/>
  <c r="G92" i="23"/>
  <c r="F92" i="23"/>
  <c r="V91" i="23"/>
  <c r="U91" i="23"/>
  <c r="T91" i="23"/>
  <c r="S91" i="23"/>
  <c r="R91" i="23"/>
  <c r="K91" i="23"/>
  <c r="J91" i="23"/>
  <c r="I91" i="23"/>
  <c r="H91" i="23"/>
  <c r="G91" i="23"/>
  <c r="F91" i="23"/>
  <c r="W90" i="23"/>
  <c r="V90" i="23"/>
  <c r="U90" i="23"/>
  <c r="T90" i="23"/>
  <c r="S90" i="23"/>
  <c r="R90" i="23"/>
  <c r="K90" i="23"/>
  <c r="J90" i="23"/>
  <c r="I90" i="23"/>
  <c r="H90" i="23"/>
  <c r="G90" i="23"/>
  <c r="F90" i="23"/>
  <c r="W89" i="23"/>
  <c r="V89" i="23"/>
  <c r="U89" i="23"/>
  <c r="T89" i="23"/>
  <c r="S89" i="23"/>
  <c r="R89" i="23"/>
  <c r="J89" i="23"/>
  <c r="I89" i="23"/>
  <c r="H89" i="23"/>
  <c r="G89" i="23"/>
  <c r="F89" i="23"/>
  <c r="T59" i="23"/>
  <c r="S59" i="23"/>
  <c r="H59" i="23"/>
  <c r="G59" i="23"/>
  <c r="W56" i="23"/>
  <c r="V56" i="23"/>
  <c r="U56" i="23"/>
  <c r="T56" i="23"/>
  <c r="S56" i="23"/>
  <c r="R56" i="23"/>
  <c r="K56" i="23"/>
  <c r="J56" i="23"/>
  <c r="I56" i="23"/>
  <c r="H56" i="23"/>
  <c r="G56" i="23"/>
  <c r="F56" i="23"/>
  <c r="W55" i="23"/>
  <c r="V55" i="23"/>
  <c r="U55" i="23"/>
  <c r="T55" i="23"/>
  <c r="S55" i="23"/>
  <c r="R55" i="23"/>
  <c r="K55" i="23"/>
  <c r="J55" i="23"/>
  <c r="I55" i="23"/>
  <c r="H55" i="23"/>
  <c r="G55" i="23"/>
  <c r="F55" i="23"/>
  <c r="W54" i="23"/>
  <c r="V54" i="23"/>
  <c r="U54" i="23"/>
  <c r="T54" i="23"/>
  <c r="S54" i="23"/>
  <c r="R54" i="23"/>
  <c r="K54" i="23"/>
  <c r="J54" i="23"/>
  <c r="I54" i="23"/>
  <c r="H54" i="23"/>
  <c r="G54" i="23"/>
  <c r="F54" i="23"/>
  <c r="W53" i="23"/>
  <c r="V53" i="23"/>
  <c r="U53" i="23"/>
  <c r="T53" i="23"/>
  <c r="S53" i="23"/>
  <c r="R53" i="23"/>
  <c r="K53" i="23"/>
  <c r="I53" i="23"/>
  <c r="H53" i="23"/>
  <c r="G53" i="23"/>
  <c r="F53" i="23"/>
  <c r="W34" i="23"/>
  <c r="V34" i="23"/>
  <c r="U34" i="23"/>
  <c r="T34" i="23"/>
  <c r="S34" i="23"/>
  <c r="K34" i="23"/>
  <c r="J34" i="23"/>
  <c r="I34" i="23"/>
  <c r="H34" i="23"/>
  <c r="G34" i="23"/>
  <c r="K23" i="23"/>
  <c r="J23" i="23"/>
  <c r="S20" i="23"/>
  <c r="K20" i="23"/>
  <c r="J20" i="23"/>
  <c r="I20" i="23"/>
  <c r="H20" i="23"/>
  <c r="G20" i="23"/>
  <c r="E20" i="23"/>
  <c r="W17" i="23"/>
  <c r="V17" i="23"/>
  <c r="U17" i="23"/>
  <c r="T17" i="23"/>
  <c r="S17" i="23"/>
  <c r="R17" i="23"/>
  <c r="K17" i="23"/>
  <c r="J17" i="23"/>
  <c r="I17" i="23"/>
  <c r="H17" i="23"/>
  <c r="G17" i="23"/>
  <c r="W16" i="23"/>
  <c r="V16" i="23"/>
  <c r="U16" i="23"/>
  <c r="T16" i="23"/>
  <c r="S16" i="23"/>
  <c r="R16" i="23"/>
  <c r="K16" i="23"/>
  <c r="J16" i="23"/>
  <c r="H16" i="23"/>
  <c r="G16" i="23"/>
  <c r="W15" i="23"/>
  <c r="V15" i="23"/>
  <c r="U15" i="23"/>
  <c r="T15" i="23"/>
  <c r="S15" i="23"/>
  <c r="R15" i="23"/>
  <c r="K15" i="23"/>
  <c r="J15" i="23"/>
  <c r="I15" i="23"/>
  <c r="H15" i="23"/>
  <c r="G15" i="23"/>
  <c r="W14" i="23"/>
  <c r="V14" i="23"/>
  <c r="U14" i="23"/>
  <c r="T14" i="23"/>
  <c r="S14" i="23"/>
  <c r="R14" i="23"/>
  <c r="K14" i="23"/>
  <c r="J14" i="23"/>
  <c r="I14" i="23"/>
  <c r="H14" i="23"/>
  <c r="G14" i="23"/>
</calcChain>
</file>

<file path=xl/sharedStrings.xml><?xml version="1.0" encoding="utf-8"?>
<sst xmlns="http://schemas.openxmlformats.org/spreadsheetml/2006/main" count="279" uniqueCount="62">
  <si>
    <t xml:space="preserve"> </t>
  </si>
  <si>
    <t>FY2014</t>
  </si>
  <si>
    <t>FY2015</t>
  </si>
  <si>
    <t>FY2019</t>
  </si>
  <si>
    <t>FY2020</t>
  </si>
  <si>
    <t>FY2021</t>
  </si>
  <si>
    <t>FY2022</t>
  </si>
  <si>
    <t>Public 4-Year</t>
  </si>
  <si>
    <t>Public 2-Year</t>
  </si>
  <si>
    <t>Proprietary</t>
  </si>
  <si>
    <t>Overall</t>
  </si>
  <si>
    <t>Freshmen</t>
  </si>
  <si>
    <t>Characteristics of Eligible Dependent MAP Applicants</t>
  </si>
  <si>
    <t>Characteristics of Paid Dependent MAP Applicants</t>
  </si>
  <si>
    <t>NUMBER ELIGIBLE:</t>
  </si>
  <si>
    <t>NUMBER PAID:</t>
  </si>
  <si>
    <t>MEAN ANNOUNCED MAP GRANT:</t>
  </si>
  <si>
    <t>MEAN MAP CLAIM:</t>
  </si>
  <si>
    <t>APPLICANT  DISTRIBUTION:</t>
  </si>
  <si>
    <t xml:space="preserve">CLASS LEVEL: </t>
  </si>
  <si>
    <t>Sophomores</t>
  </si>
  <si>
    <t>Other Undergraduates</t>
  </si>
  <si>
    <t xml:space="preserve">ILLINOIS REGIONS: </t>
  </si>
  <si>
    <t>Chicago (Zip 606)</t>
  </si>
  <si>
    <t>Collar Area (600-605, 607, 608)</t>
  </si>
  <si>
    <t>All Other Areas</t>
  </si>
  <si>
    <t>PARENTS:</t>
  </si>
  <si>
    <t>Mean Age Oldest Parent</t>
  </si>
  <si>
    <t>%  Married</t>
  </si>
  <si>
    <t>%  With Assets</t>
  </si>
  <si>
    <t>Mean Assets</t>
  </si>
  <si>
    <t>%  With Tax Income</t>
  </si>
  <si>
    <t>Mean Tax Income</t>
  </si>
  <si>
    <t>HOUSEHOLD:</t>
  </si>
  <si>
    <t>Mean Size</t>
  </si>
  <si>
    <t>Mean # in College</t>
  </si>
  <si>
    <t>STUDENTS:</t>
  </si>
  <si>
    <t>Mean Age</t>
  </si>
  <si>
    <t>% With Taxable Income</t>
  </si>
  <si>
    <t>Mean Taxable Income, if &gt; 0</t>
  </si>
  <si>
    <t>EXPECTED FAMILY CONTRIBUTION:</t>
  </si>
  <si>
    <t>Mean Federal EFC</t>
  </si>
  <si>
    <t>Mean ISAC Adjusted EFC</t>
  </si>
  <si>
    <t>Characteristics of Eligible Independent MAP Applicants</t>
  </si>
  <si>
    <t>Characteristics of Paid Independent MAP Applicants</t>
  </si>
  <si>
    <t xml:space="preserve">  </t>
  </si>
  <si>
    <t>Characteristics of Eligible Dependent/Independent Combined MAP Applicants</t>
  </si>
  <si>
    <t>Characteristics of Paid Dependent/Independent Combined MAP Applicants</t>
  </si>
  <si>
    <t xml:space="preserve">PARENTS OF DEPENDENT STUDENTS/ </t>
  </si>
  <si>
    <t>INDEPENDENT STUDENTS:</t>
  </si>
  <si>
    <t>ISAC Adjusted EFC</t>
  </si>
  <si>
    <t xml:space="preserve">     Mean Taxable Income does not include dependent student income.</t>
  </si>
  <si>
    <t>Table 2.6a of the 2023 ISAC Data Book</t>
  </si>
  <si>
    <t>Table 2.6d of the 2023 ISAC Data Book</t>
  </si>
  <si>
    <t>FY2019-FY2023</t>
  </si>
  <si>
    <t>FY2023</t>
  </si>
  <si>
    <t>Table 2.6b of the 2023 ISAC Data Book</t>
  </si>
  <si>
    <t>Table 2.6e of the 2023 ISAC Data Book</t>
  </si>
  <si>
    <t>Table 2.6c of the 2023 ISAC Data Book</t>
  </si>
  <si>
    <t>Table 2.6f of the 2023 ISAC Data Book</t>
  </si>
  <si>
    <t>Private Not-for-Profit</t>
  </si>
  <si>
    <t>% Zero EFC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</si>
</sst>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9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sz val="8"/>
      <name val="ZapfChancery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2" applyFont="1"/>
    <xf numFmtId="0" fontId="4" fillId="0" borderId="0" xfId="2"/>
    <xf numFmtId="0" fontId="6" fillId="0" borderId="0" xfId="2" applyFont="1"/>
    <xf numFmtId="0" fontId="3" fillId="0" borderId="0" xfId="2" applyFont="1"/>
    <xf numFmtId="0" fontId="7" fillId="0" borderId="0" xfId="2" applyFont="1"/>
    <xf numFmtId="0" fontId="10" fillId="0" borderId="0" xfId="2" applyFont="1"/>
    <xf numFmtId="0" fontId="10" fillId="0" borderId="0" xfId="2" applyFont="1" applyAlignment="1">
      <alignment horizontal="right"/>
    </xf>
    <xf numFmtId="3" fontId="3" fillId="0" borderId="0" xfId="2" applyNumberFormat="1" applyFont="1"/>
    <xf numFmtId="165" fontId="3" fillId="0" borderId="0" xfId="2" applyNumberFormat="1" applyFont="1"/>
    <xf numFmtId="164" fontId="3" fillId="0" borderId="0" xfId="2" applyNumberFormat="1" applyFont="1"/>
    <xf numFmtId="3" fontId="4" fillId="0" borderId="0" xfId="2" applyNumberFormat="1"/>
    <xf numFmtId="5" fontId="3" fillId="0" borderId="0" xfId="2" applyNumberFormat="1" applyFont="1"/>
    <xf numFmtId="164" fontId="3" fillId="0" borderId="0" xfId="2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6" fontId="3" fillId="0" borderId="10" xfId="2" applyNumberFormat="1" applyFont="1" applyBorder="1"/>
    <xf numFmtId="166" fontId="3" fillId="0" borderId="0" xfId="2" applyNumberFormat="1" applyFont="1"/>
    <xf numFmtId="0" fontId="3" fillId="0" borderId="2" xfId="2" applyFont="1" applyBorder="1"/>
    <xf numFmtId="37" fontId="3" fillId="0" borderId="0" xfId="2" applyNumberFormat="1" applyFont="1"/>
    <xf numFmtId="164" fontId="3" fillId="0" borderId="1" xfId="2" applyNumberFormat="1" applyFont="1" applyBorder="1"/>
    <xf numFmtId="0" fontId="3" fillId="0" borderId="1" xfId="2" applyFont="1" applyBorder="1"/>
    <xf numFmtId="0" fontId="9" fillId="0" borderId="0" xfId="2" applyFont="1"/>
    <xf numFmtId="0" fontId="3" fillId="0" borderId="0" xfId="2" applyFont="1" applyAlignment="1">
      <alignment horizontal="right"/>
    </xf>
    <xf numFmtId="0" fontId="4" fillId="0" borderId="0" xfId="2" applyAlignment="1">
      <alignment horizontal="right"/>
    </xf>
    <xf numFmtId="0" fontId="8" fillId="0" borderId="0" xfId="2" applyFont="1"/>
    <xf numFmtId="0" fontId="12" fillId="0" borderId="0" xfId="2" applyFont="1"/>
    <xf numFmtId="0" fontId="5" fillId="0" borderId="7" xfId="2" applyFont="1" applyBorder="1"/>
    <xf numFmtId="0" fontId="4" fillId="0" borderId="4" xfId="2" applyBorder="1"/>
    <xf numFmtId="0" fontId="10" fillId="0" borderId="8" xfId="2" applyFont="1" applyBorder="1"/>
    <xf numFmtId="0" fontId="10" fillId="0" borderId="8" xfId="2" applyFont="1" applyBorder="1" applyAlignment="1">
      <alignment horizontal="right"/>
    </xf>
    <xf numFmtId="0" fontId="10" fillId="0" borderId="12" xfId="2" applyFont="1" applyBorder="1" applyAlignment="1">
      <alignment horizontal="right"/>
    </xf>
    <xf numFmtId="0" fontId="4" fillId="0" borderId="5" xfId="2" applyBorder="1"/>
    <xf numFmtId="0" fontId="10" fillId="0" borderId="11" xfId="2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 vertical="top"/>
    </xf>
    <xf numFmtId="3" fontId="3" fillId="0" borderId="11" xfId="2" applyNumberFormat="1" applyFont="1" applyBorder="1" applyAlignment="1">
      <alignment horizontal="right" vertical="top"/>
    </xf>
    <xf numFmtId="164" fontId="3" fillId="0" borderId="11" xfId="2" applyNumberFormat="1" applyFont="1" applyBorder="1" applyAlignment="1">
      <alignment horizontal="right"/>
    </xf>
    <xf numFmtId="5" fontId="3" fillId="0" borderId="10" xfId="2" applyNumberFormat="1" applyFont="1" applyBorder="1"/>
    <xf numFmtId="0" fontId="3" fillId="0" borderId="9" xfId="2" applyFont="1" applyBorder="1"/>
    <xf numFmtId="164" fontId="3" fillId="0" borderId="1" xfId="2" applyNumberFormat="1" applyFont="1" applyBorder="1" applyAlignment="1">
      <alignment horizontal="right"/>
    </xf>
    <xf numFmtId="164" fontId="3" fillId="0" borderId="9" xfId="2" applyNumberFormat="1" applyFont="1" applyBorder="1" applyAlignment="1">
      <alignment horizontal="right"/>
    </xf>
    <xf numFmtId="9" fontId="3" fillId="0" borderId="0" xfId="2" applyNumberFormat="1" applyFont="1" applyAlignment="1">
      <alignment horizontal="right"/>
    </xf>
    <xf numFmtId="9" fontId="3" fillId="0" borderId="10" xfId="2" applyNumberFormat="1" applyFont="1" applyBorder="1"/>
    <xf numFmtId="9" fontId="3" fillId="0" borderId="11" xfId="2" applyNumberFormat="1" applyFont="1" applyBorder="1"/>
    <xf numFmtId="9" fontId="3" fillId="0" borderId="0" xfId="2" applyNumberFormat="1" applyFont="1"/>
    <xf numFmtId="9" fontId="3" fillId="0" borderId="1" xfId="2" applyNumberFormat="1" applyFont="1" applyBorder="1"/>
    <xf numFmtId="9" fontId="3" fillId="0" borderId="1" xfId="2" applyNumberFormat="1" applyFont="1" applyBorder="1" applyAlignment="1">
      <alignment horizontal="right"/>
    </xf>
    <xf numFmtId="9" fontId="3" fillId="0" borderId="1" xfId="2" quotePrefix="1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1" fontId="3" fillId="0" borderId="10" xfId="2" applyNumberFormat="1" applyFont="1" applyBorder="1"/>
    <xf numFmtId="1" fontId="3" fillId="0" borderId="11" xfId="2" applyNumberFormat="1" applyFont="1" applyBorder="1"/>
    <xf numFmtId="164" fontId="3" fillId="0" borderId="11" xfId="2" applyNumberFormat="1" applyFont="1" applyBorder="1"/>
    <xf numFmtId="166" fontId="3" fillId="0" borderId="11" xfId="2" applyNumberFormat="1" applyFont="1" applyBorder="1"/>
    <xf numFmtId="0" fontId="4" fillId="0" borderId="1" xfId="2" applyBorder="1"/>
    <xf numFmtId="0" fontId="4" fillId="0" borderId="6" xfId="2" applyBorder="1"/>
    <xf numFmtId="0" fontId="4" fillId="0" borderId="3" xfId="2" applyBorder="1"/>
    <xf numFmtId="0" fontId="4" fillId="0" borderId="3" xfId="2" applyBorder="1" applyAlignment="1">
      <alignment horizontal="right"/>
    </xf>
    <xf numFmtId="9" fontId="3" fillId="0" borderId="7" xfId="2" applyNumberFormat="1" applyFont="1" applyBorder="1" applyAlignment="1">
      <alignment horizontal="right"/>
    </xf>
    <xf numFmtId="0" fontId="4" fillId="0" borderId="13" xfId="2" applyBorder="1"/>
    <xf numFmtId="0" fontId="10" fillId="0" borderId="4" xfId="2" applyFont="1" applyBorder="1"/>
    <xf numFmtId="0" fontId="10" fillId="0" borderId="5" xfId="2" applyFont="1" applyBorder="1"/>
    <xf numFmtId="37" fontId="3" fillId="0" borderId="5" xfId="2" applyNumberFormat="1" applyFont="1" applyBorder="1"/>
    <xf numFmtId="3" fontId="3" fillId="0" borderId="1" xfId="2" applyNumberFormat="1" applyFont="1" applyBorder="1"/>
    <xf numFmtId="5" fontId="3" fillId="0" borderId="5" xfId="2" applyNumberFormat="1" applyFont="1" applyBorder="1"/>
    <xf numFmtId="9" fontId="3" fillId="0" borderId="5" xfId="2" applyNumberFormat="1" applyFont="1" applyBorder="1"/>
    <xf numFmtId="1" fontId="3" fillId="0" borderId="0" xfId="2" applyNumberFormat="1" applyFont="1" applyAlignment="1">
      <alignment horizontal="right"/>
    </xf>
    <xf numFmtId="0" fontId="3" fillId="0" borderId="14" xfId="2" applyFont="1" applyBorder="1"/>
    <xf numFmtId="165" fontId="3" fillId="0" borderId="10" xfId="2" applyNumberFormat="1" applyFont="1" applyBorder="1"/>
    <xf numFmtId="9" fontId="3" fillId="0" borderId="7" xfId="2" applyNumberFormat="1" applyFont="1" applyBorder="1"/>
    <xf numFmtId="9" fontId="3" fillId="0" borderId="13" xfId="2" applyNumberFormat="1" applyFont="1" applyBorder="1"/>
    <xf numFmtId="3" fontId="3" fillId="0" borderId="11" xfId="2" applyNumberFormat="1" applyFont="1" applyBorder="1" applyAlignment="1">
      <alignment horizontal="right"/>
    </xf>
    <xf numFmtId="9" fontId="3" fillId="0" borderId="11" xfId="2" applyNumberFormat="1" applyFont="1" applyBorder="1" applyAlignment="1">
      <alignment horizontal="right"/>
    </xf>
    <xf numFmtId="9" fontId="3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left" indent="2"/>
    </xf>
    <xf numFmtId="166" fontId="3" fillId="0" borderId="11" xfId="2" applyNumberFormat="1" applyFont="1" applyBorder="1" applyAlignment="1">
      <alignment horizontal="right"/>
    </xf>
    <xf numFmtId="0" fontId="4" fillId="0" borderId="11" xfId="2" applyBorder="1"/>
    <xf numFmtId="0" fontId="4" fillId="0" borderId="15" xfId="2" applyBorder="1"/>
    <xf numFmtId="0" fontId="9" fillId="0" borderId="0" xfId="2" applyFont="1" applyAlignment="1">
      <alignment horizontal="left"/>
    </xf>
    <xf numFmtId="0" fontId="4" fillId="0" borderId="0" xfId="2" applyAlignment="1">
      <alignment horizontal="left"/>
    </xf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857830</xdr:colOff>
      <xdr:row>100</xdr:row>
      <xdr:rowOff>102785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1E23E0-0F24-430D-9CD6-9270050C5B9E}"/>
            </a:ext>
          </a:extLst>
        </xdr:cNvPr>
        <xdr:cNvSpPr txBox="1"/>
      </xdr:nvSpPr>
      <xdr:spPr>
        <a:xfrm>
          <a:off x="3664530" y="1795898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112059</xdr:colOff>
      <xdr:row>108</xdr:row>
      <xdr:rowOff>89647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39FED8-8CDB-40E0-B26D-F9478678B9AD}"/>
            </a:ext>
          </a:extLst>
        </xdr:cNvPr>
        <xdr:cNvSpPr txBox="1"/>
      </xdr:nvSpPr>
      <xdr:spPr>
        <a:xfrm>
          <a:off x="112059" y="19272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15</xdr:col>
      <xdr:colOff>860534</xdr:colOff>
      <xdr:row>100</xdr:row>
      <xdr:rowOff>105104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81A0D6-2D38-4C0D-AE1F-8A93A960C71C}"/>
            </a:ext>
          </a:extLst>
        </xdr:cNvPr>
        <xdr:cNvSpPr txBox="1"/>
      </xdr:nvSpPr>
      <xdr:spPr>
        <a:xfrm>
          <a:off x="12296884" y="1796130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12</xdr:col>
      <xdr:colOff>112059</xdr:colOff>
      <xdr:row>108</xdr:row>
      <xdr:rowOff>89647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F64BDC-5E7C-43B4-9378-D9D5B48D5BA7}"/>
            </a:ext>
          </a:extLst>
        </xdr:cNvPr>
        <xdr:cNvSpPr txBox="1"/>
      </xdr:nvSpPr>
      <xdr:spPr>
        <a:xfrm>
          <a:off x="8741709" y="19272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3</xdr:col>
      <xdr:colOff>857830</xdr:colOff>
      <xdr:row>100</xdr:row>
      <xdr:rowOff>102785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1BF152C-6427-4CC8-AA20-8FA0933181E5}"/>
            </a:ext>
          </a:extLst>
        </xdr:cNvPr>
        <xdr:cNvSpPr txBox="1"/>
      </xdr:nvSpPr>
      <xdr:spPr>
        <a:xfrm>
          <a:off x="3664530" y="1719698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112059</xdr:colOff>
      <xdr:row>108</xdr:row>
      <xdr:rowOff>89647</xdr:rowOff>
    </xdr:from>
    <xdr:ext cx="236668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2C5DCC2-BA70-4A4C-AB31-570E44F167FF}"/>
            </a:ext>
          </a:extLst>
        </xdr:cNvPr>
        <xdr:cNvSpPr txBox="1"/>
      </xdr:nvSpPr>
      <xdr:spPr>
        <a:xfrm>
          <a:off x="112059" y="18510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15</xdr:col>
      <xdr:colOff>860534</xdr:colOff>
      <xdr:row>100</xdr:row>
      <xdr:rowOff>105104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765E86C-8633-4049-AE72-C9918EB89EE7}"/>
            </a:ext>
          </a:extLst>
        </xdr:cNvPr>
        <xdr:cNvSpPr txBox="1"/>
      </xdr:nvSpPr>
      <xdr:spPr>
        <a:xfrm>
          <a:off x="12296884" y="1719930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12</xdr:col>
      <xdr:colOff>112059</xdr:colOff>
      <xdr:row>108</xdr:row>
      <xdr:rowOff>89647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88057C3-BF5E-4986-8D85-112A30D0AF74}"/>
            </a:ext>
          </a:extLst>
        </xdr:cNvPr>
        <xdr:cNvSpPr txBox="1"/>
      </xdr:nvSpPr>
      <xdr:spPr>
        <a:xfrm>
          <a:off x="8741709" y="18510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19A9-A5AA-4CF5-806A-546F2288486E}">
  <dimension ref="B2:AF128"/>
  <sheetViews>
    <sheetView tabSelected="1" view="pageBreakPreview" zoomScale="130" zoomScaleNormal="70" zoomScaleSheetLayoutView="130" workbookViewId="0"/>
  </sheetViews>
  <sheetFormatPr defaultColWidth="8.7109375" defaultRowHeight="11.25"/>
  <cols>
    <col min="1" max="1" width="2" style="2" customWidth="1"/>
    <col min="2" max="2" width="2.140625" style="2" customWidth="1"/>
    <col min="3" max="3" width="36" style="2" customWidth="1"/>
    <col min="4" max="4" width="27.85546875" style="2" customWidth="1"/>
    <col min="5" max="6" width="9.5703125" style="2" hidden="1" customWidth="1"/>
    <col min="7" max="7" width="9.5703125" style="2" customWidth="1"/>
    <col min="8" max="11" width="10.85546875" style="2" customWidth="1"/>
    <col min="12" max="12" width="2.28515625" style="2" customWidth="1"/>
    <col min="13" max="13" width="2" style="2" customWidth="1"/>
    <col min="14" max="14" width="2.140625" style="2" customWidth="1"/>
    <col min="15" max="15" width="36" style="2" customWidth="1"/>
    <col min="16" max="16" width="27.85546875" style="2" customWidth="1"/>
    <col min="17" max="18" width="0" style="2" hidden="1" customWidth="1"/>
    <col min="19" max="23" width="10.85546875" style="2" customWidth="1"/>
    <col min="24" max="24" width="2.28515625" style="2" customWidth="1"/>
    <col min="25" max="26" width="8.7109375" style="2"/>
    <col min="27" max="27" width="23" style="2" bestFit="1" customWidth="1"/>
    <col min="28" max="16384" width="8.7109375" style="2"/>
  </cols>
  <sheetData>
    <row r="2" spans="2:32" ht="18.75">
      <c r="B2" s="1" t="s">
        <v>52</v>
      </c>
      <c r="D2" s="24"/>
      <c r="E2" s="1"/>
      <c r="F2" s="1"/>
      <c r="G2" s="1" t="s">
        <v>0</v>
      </c>
      <c r="H2" s="1"/>
      <c r="I2" s="1"/>
      <c r="J2" s="25"/>
      <c r="K2" s="25"/>
      <c r="L2" s="25"/>
      <c r="N2" s="1" t="s">
        <v>53</v>
      </c>
      <c r="P2" s="24"/>
      <c r="Q2" s="1"/>
      <c r="R2" s="1"/>
      <c r="S2" s="1" t="s">
        <v>0</v>
      </c>
      <c r="T2" s="1"/>
      <c r="U2" s="1"/>
      <c r="V2" s="25"/>
    </row>
    <row r="3" spans="2:32" ht="18.75">
      <c r="B3" s="1" t="s">
        <v>12</v>
      </c>
      <c r="D3" s="1"/>
      <c r="E3" s="1"/>
      <c r="F3" s="1"/>
      <c r="G3" s="1"/>
      <c r="H3" s="1"/>
      <c r="I3" s="1"/>
      <c r="J3" s="25"/>
      <c r="K3" s="25"/>
      <c r="L3" s="25"/>
      <c r="N3" s="1" t="s">
        <v>13</v>
      </c>
      <c r="P3" s="1"/>
      <c r="Q3" s="1"/>
      <c r="R3" s="1"/>
      <c r="S3" s="1"/>
      <c r="T3" s="1"/>
      <c r="U3" s="1"/>
      <c r="V3" s="25"/>
    </row>
    <row r="4" spans="2:32" ht="18.75">
      <c r="B4" s="1" t="s">
        <v>54</v>
      </c>
      <c r="D4" s="1"/>
      <c r="E4" s="1"/>
      <c r="F4" s="1"/>
      <c r="G4" s="1"/>
      <c r="H4" s="1"/>
      <c r="I4" s="1"/>
      <c r="J4" s="25"/>
      <c r="K4" s="25"/>
      <c r="L4" s="25"/>
      <c r="N4" s="1" t="s">
        <v>54</v>
      </c>
      <c r="P4" s="1"/>
      <c r="Q4" s="1"/>
      <c r="R4" s="1"/>
      <c r="S4" s="1"/>
      <c r="T4" s="1"/>
      <c r="U4" s="1"/>
      <c r="V4" s="25"/>
    </row>
    <row r="5" spans="2:32" ht="19.5" thickBot="1">
      <c r="B5" s="1"/>
      <c r="D5" s="1"/>
      <c r="E5" s="1"/>
      <c r="F5" s="1"/>
      <c r="G5" s="1"/>
      <c r="H5" s="1"/>
      <c r="I5" s="1"/>
      <c r="J5" s="25"/>
      <c r="K5" s="25"/>
      <c r="L5" s="25"/>
      <c r="N5" s="1"/>
      <c r="P5" s="1"/>
      <c r="Q5" s="1"/>
      <c r="R5" s="26"/>
      <c r="S5" s="1"/>
      <c r="T5" s="1"/>
      <c r="U5" s="1"/>
      <c r="V5" s="25"/>
    </row>
    <row r="6" spans="2:32" ht="13.5" thickTop="1">
      <c r="B6" s="27"/>
      <c r="C6" s="28"/>
      <c r="D6" s="28"/>
      <c r="E6" s="29" t="s">
        <v>1</v>
      </c>
      <c r="F6" s="29" t="s">
        <v>2</v>
      </c>
      <c r="G6" s="29" t="s">
        <v>3</v>
      </c>
      <c r="H6" s="29" t="s">
        <v>4</v>
      </c>
      <c r="I6" s="29" t="s">
        <v>5</v>
      </c>
      <c r="J6" s="29" t="s">
        <v>6</v>
      </c>
      <c r="K6" s="29" t="s">
        <v>55</v>
      </c>
      <c r="L6" s="30"/>
      <c r="N6" s="27"/>
      <c r="O6" s="28"/>
      <c r="P6" s="28"/>
      <c r="Q6" s="29" t="s">
        <v>1</v>
      </c>
      <c r="R6" s="29" t="s">
        <v>2</v>
      </c>
      <c r="S6" s="29" t="s">
        <v>3</v>
      </c>
      <c r="T6" s="29" t="s">
        <v>4</v>
      </c>
      <c r="U6" s="29" t="s">
        <v>5</v>
      </c>
      <c r="V6" s="29" t="s">
        <v>6</v>
      </c>
      <c r="W6" s="29" t="s">
        <v>55</v>
      </c>
      <c r="X6" s="30"/>
    </row>
    <row r="7" spans="2:32" ht="12.75">
      <c r="B7" s="31"/>
      <c r="C7" s="6"/>
      <c r="D7" s="6"/>
      <c r="E7" s="7"/>
      <c r="F7" s="7"/>
      <c r="G7" s="7"/>
      <c r="H7" s="7"/>
      <c r="I7" s="7"/>
      <c r="J7" s="7"/>
      <c r="K7" s="7"/>
      <c r="L7" s="32"/>
      <c r="N7" s="31"/>
      <c r="O7" s="6"/>
      <c r="P7" s="6"/>
      <c r="Q7" s="7"/>
      <c r="R7" s="7"/>
      <c r="S7" s="7"/>
      <c r="T7" s="7"/>
      <c r="U7" s="7"/>
      <c r="V7" s="7"/>
      <c r="W7" s="7"/>
      <c r="X7" s="32"/>
    </row>
    <row r="8" spans="2:32" ht="12.75">
      <c r="B8" s="31"/>
      <c r="C8" s="20" t="s">
        <v>14</v>
      </c>
      <c r="D8" s="20"/>
      <c r="E8" s="33">
        <v>165566</v>
      </c>
      <c r="F8" s="33">
        <v>161302</v>
      </c>
      <c r="G8" s="34">
        <v>152375</v>
      </c>
      <c r="H8" s="34">
        <v>145909</v>
      </c>
      <c r="I8" s="34">
        <v>137323</v>
      </c>
      <c r="J8" s="34">
        <v>134317</v>
      </c>
      <c r="K8" s="34">
        <v>131735</v>
      </c>
      <c r="L8" s="35"/>
      <c r="N8" s="31"/>
      <c r="O8" s="20" t="s">
        <v>15</v>
      </c>
      <c r="P8" s="20"/>
      <c r="Q8" s="33">
        <v>86702</v>
      </c>
      <c r="R8" s="33">
        <v>83347</v>
      </c>
      <c r="S8" s="18">
        <v>89729</v>
      </c>
      <c r="T8" s="34">
        <v>94495</v>
      </c>
      <c r="U8" s="34">
        <v>92732</v>
      </c>
      <c r="V8" s="34">
        <v>95049</v>
      </c>
      <c r="W8" s="34">
        <v>96245</v>
      </c>
      <c r="X8" s="35"/>
    </row>
    <row r="9" spans="2:32" ht="12.75">
      <c r="B9" s="31"/>
      <c r="C9" s="4" t="s">
        <v>16</v>
      </c>
      <c r="D9" s="4" t="s">
        <v>10</v>
      </c>
      <c r="E9" s="13">
        <v>3132</v>
      </c>
      <c r="F9" s="13">
        <v>3119</v>
      </c>
      <c r="G9" s="13">
        <v>3524</v>
      </c>
      <c r="H9" s="13">
        <v>3824</v>
      </c>
      <c r="I9" s="13">
        <v>3918</v>
      </c>
      <c r="J9" s="13">
        <v>4186</v>
      </c>
      <c r="K9" s="13">
        <v>5308</v>
      </c>
      <c r="L9" s="36"/>
      <c r="N9" s="31"/>
      <c r="O9" s="4" t="s">
        <v>17</v>
      </c>
      <c r="P9" s="4" t="s">
        <v>10</v>
      </c>
      <c r="Q9" s="13">
        <v>3086</v>
      </c>
      <c r="R9" s="13">
        <v>3132</v>
      </c>
      <c r="S9" s="37">
        <v>3374</v>
      </c>
      <c r="T9" s="13">
        <v>3569</v>
      </c>
      <c r="U9" s="13">
        <v>3575</v>
      </c>
      <c r="V9" s="13">
        <v>3696</v>
      </c>
      <c r="W9" s="13">
        <v>4666</v>
      </c>
      <c r="X9" s="36"/>
      <c r="AB9" s="11"/>
      <c r="AC9" s="11"/>
      <c r="AD9" s="11"/>
      <c r="AF9" s="11"/>
    </row>
    <row r="10" spans="2:32" ht="12.75">
      <c r="B10" s="31"/>
      <c r="C10" s="4"/>
      <c r="D10" s="4" t="s">
        <v>7</v>
      </c>
      <c r="E10" s="13">
        <v>4133</v>
      </c>
      <c r="F10" s="13">
        <v>4207</v>
      </c>
      <c r="G10" s="13">
        <v>4737</v>
      </c>
      <c r="H10" s="13">
        <v>5178</v>
      </c>
      <c r="I10" s="13">
        <v>5187</v>
      </c>
      <c r="J10" s="13">
        <v>5493</v>
      </c>
      <c r="K10" s="13">
        <v>7050</v>
      </c>
      <c r="L10" s="36"/>
      <c r="N10" s="31"/>
      <c r="O10" s="4"/>
      <c r="P10" s="4" t="s">
        <v>7</v>
      </c>
      <c r="Q10" s="13">
        <v>3725</v>
      </c>
      <c r="R10" s="13">
        <v>3737</v>
      </c>
      <c r="S10" s="12">
        <v>4172</v>
      </c>
      <c r="T10" s="13">
        <v>4571</v>
      </c>
      <c r="U10" s="13">
        <v>4545</v>
      </c>
      <c r="V10" s="13">
        <v>4731</v>
      </c>
      <c r="W10" s="13">
        <v>6119</v>
      </c>
      <c r="X10" s="36"/>
    </row>
    <row r="11" spans="2:32" ht="12.75">
      <c r="B11" s="31"/>
      <c r="C11" s="4"/>
      <c r="D11" s="4" t="s">
        <v>8</v>
      </c>
      <c r="E11" s="13">
        <v>1664</v>
      </c>
      <c r="F11" s="13">
        <v>1517</v>
      </c>
      <c r="G11" s="13">
        <v>1652</v>
      </c>
      <c r="H11" s="13">
        <v>1698</v>
      </c>
      <c r="I11" s="13">
        <v>1685</v>
      </c>
      <c r="J11" s="13">
        <v>1876</v>
      </c>
      <c r="K11" s="13">
        <v>2529</v>
      </c>
      <c r="L11" s="36"/>
      <c r="N11" s="31"/>
      <c r="O11" s="4"/>
      <c r="P11" s="4" t="s">
        <v>8</v>
      </c>
      <c r="Q11" s="13">
        <v>1002</v>
      </c>
      <c r="R11" s="13">
        <v>1015</v>
      </c>
      <c r="S11" s="12">
        <v>1095</v>
      </c>
      <c r="T11" s="13">
        <v>1099</v>
      </c>
      <c r="U11" s="13">
        <v>1077</v>
      </c>
      <c r="V11" s="13">
        <v>1105</v>
      </c>
      <c r="W11" s="13">
        <v>1569</v>
      </c>
      <c r="X11" s="36"/>
    </row>
    <row r="12" spans="2:32" ht="12.75">
      <c r="B12" s="31"/>
      <c r="C12" s="4"/>
      <c r="D12" s="4" t="s">
        <v>60</v>
      </c>
      <c r="E12" s="13">
        <v>4603</v>
      </c>
      <c r="F12" s="13">
        <v>4676</v>
      </c>
      <c r="G12" s="13">
        <v>4871</v>
      </c>
      <c r="H12" s="13">
        <v>5337</v>
      </c>
      <c r="I12" s="13">
        <v>5331</v>
      </c>
      <c r="J12" s="13">
        <v>5642</v>
      </c>
      <c r="K12" s="13">
        <v>7192</v>
      </c>
      <c r="L12" s="36"/>
      <c r="N12" s="31"/>
      <c r="O12" s="4"/>
      <c r="P12" s="4" t="s">
        <v>60</v>
      </c>
      <c r="Q12" s="13">
        <v>4245</v>
      </c>
      <c r="R12" s="13">
        <v>4240</v>
      </c>
      <c r="S12" s="12">
        <v>4395</v>
      </c>
      <c r="T12" s="13">
        <v>4796</v>
      </c>
      <c r="U12" s="13">
        <v>4724</v>
      </c>
      <c r="V12" s="13">
        <v>4949</v>
      </c>
      <c r="W12" s="13">
        <v>6357</v>
      </c>
      <c r="X12" s="36"/>
    </row>
    <row r="13" spans="2:32" ht="12.75">
      <c r="B13" s="31"/>
      <c r="C13" s="38"/>
      <c r="D13" s="38" t="s">
        <v>9</v>
      </c>
      <c r="E13" s="39">
        <v>4556</v>
      </c>
      <c r="F13" s="39">
        <v>4645</v>
      </c>
      <c r="G13" s="39">
        <v>4769</v>
      </c>
      <c r="H13" s="40">
        <v>5182</v>
      </c>
      <c r="I13" s="40">
        <v>5176</v>
      </c>
      <c r="J13" s="40">
        <v>5494</v>
      </c>
      <c r="K13" s="40">
        <v>7063</v>
      </c>
      <c r="L13" s="36"/>
      <c r="N13" s="31"/>
      <c r="O13" s="38"/>
      <c r="P13" s="38" t="s">
        <v>9</v>
      </c>
      <c r="Q13" s="39">
        <v>3201</v>
      </c>
      <c r="R13" s="39">
        <v>3079</v>
      </c>
      <c r="S13" s="40">
        <v>3112</v>
      </c>
      <c r="T13" s="40">
        <v>3360</v>
      </c>
      <c r="U13" s="40">
        <v>3459</v>
      </c>
      <c r="V13" s="40">
        <v>3555</v>
      </c>
      <c r="W13" s="40">
        <v>4462</v>
      </c>
      <c r="X13" s="36"/>
    </row>
    <row r="14" spans="2:32" ht="12.75">
      <c r="B14" s="31"/>
      <c r="C14" s="4" t="s">
        <v>18</v>
      </c>
      <c r="D14" s="4" t="s">
        <v>7</v>
      </c>
      <c r="E14" s="41">
        <v>0.28000000000000003</v>
      </c>
      <c r="F14" s="41">
        <v>0.2859109000508363</v>
      </c>
      <c r="G14" s="41">
        <f>51040/G8</f>
        <v>0.33496308449548812</v>
      </c>
      <c r="H14" s="42">
        <f>49182/H8</f>
        <v>0.3370731072106587</v>
      </c>
      <c r="I14" s="42">
        <f>48478/I8</f>
        <v>0.35302170794404436</v>
      </c>
      <c r="J14" s="42">
        <f>47908/J8</f>
        <v>0.35667860360192677</v>
      </c>
      <c r="K14" s="42">
        <f>46397/K8</f>
        <v>0.35219949140319579</v>
      </c>
      <c r="L14" s="43"/>
      <c r="N14" s="31"/>
      <c r="O14" s="4" t="s">
        <v>18</v>
      </c>
      <c r="P14" s="4" t="s">
        <v>7</v>
      </c>
      <c r="Q14" s="41">
        <v>0.37</v>
      </c>
      <c r="R14" s="41">
        <f>31483/R8</f>
        <v>0.37773405161553503</v>
      </c>
      <c r="S14" s="42">
        <f>36483/S8</f>
        <v>0.40659095721561589</v>
      </c>
      <c r="T14" s="42">
        <f>37018/T8</f>
        <v>0.3917455950050267</v>
      </c>
      <c r="U14" s="42">
        <f>37273/U8</f>
        <v>0.40194323426648837</v>
      </c>
      <c r="V14" s="42">
        <f>38193/V8</f>
        <v>0.40182432219171166</v>
      </c>
      <c r="W14" s="42">
        <f>37386/W8</f>
        <v>0.38844615304691155</v>
      </c>
      <c r="X14" s="43"/>
    </row>
    <row r="15" spans="2:32" ht="12.75">
      <c r="B15" s="31"/>
      <c r="C15" s="4"/>
      <c r="D15" s="4" t="s">
        <v>8</v>
      </c>
      <c r="E15" s="44">
        <v>0.45500000000000002</v>
      </c>
      <c r="F15" s="44">
        <v>0.45003161771087774</v>
      </c>
      <c r="G15" s="44">
        <f>61536/G8</f>
        <v>0.40384577522559473</v>
      </c>
      <c r="H15" s="44">
        <f>58483/H8</f>
        <v>0.40081831826686498</v>
      </c>
      <c r="I15" s="44">
        <f>51267/I8</f>
        <v>0.37333148853433146</v>
      </c>
      <c r="J15" s="44">
        <f>49977/J8</f>
        <v>0.3720824616392564</v>
      </c>
      <c r="K15" s="44">
        <f>51773/K8</f>
        <v>0.3930086916916537</v>
      </c>
      <c r="L15" s="43"/>
      <c r="N15" s="31"/>
      <c r="O15" s="4"/>
      <c r="P15" s="4" t="s">
        <v>8</v>
      </c>
      <c r="Q15" s="41">
        <v>0.28999999999999998</v>
      </c>
      <c r="R15" s="41">
        <f>23104/R8</f>
        <v>0.27720253878363948</v>
      </c>
      <c r="S15" s="41">
        <f>24940/S8</f>
        <v>0.27794804355336622</v>
      </c>
      <c r="T15" s="44">
        <f>28834/T8</f>
        <v>0.30513783798084554</v>
      </c>
      <c r="U15" s="44">
        <f>27128/U8</f>
        <v>0.29254194884182377</v>
      </c>
      <c r="V15" s="44">
        <f>28538/V8</f>
        <v>0.30024513671895547</v>
      </c>
      <c r="W15" s="44">
        <f>31844/W8</f>
        <v>0.33086394098394722</v>
      </c>
      <c r="X15" s="43"/>
    </row>
    <row r="16" spans="2:32" ht="12.75">
      <c r="B16" s="31"/>
      <c r="C16" s="4"/>
      <c r="D16" s="4" t="s">
        <v>60</v>
      </c>
      <c r="E16" s="44">
        <v>0.23300000000000001</v>
      </c>
      <c r="F16" s="44">
        <v>0.23506838104921204</v>
      </c>
      <c r="G16" s="44">
        <f>37559/G8</f>
        <v>0.24649056603773584</v>
      </c>
      <c r="H16" s="44">
        <f>36955/H8</f>
        <v>0.25327430110548355</v>
      </c>
      <c r="I16" s="44">
        <v>0.27</v>
      </c>
      <c r="J16" s="44">
        <f>35231/J8</f>
        <v>0.26229740092467818</v>
      </c>
      <c r="K16" s="44">
        <f>32478/K8</f>
        <v>0.2465404030819448</v>
      </c>
      <c r="L16" s="43"/>
      <c r="N16" s="31"/>
      <c r="O16" s="4"/>
      <c r="P16" s="4" t="s">
        <v>60</v>
      </c>
      <c r="Q16" s="41">
        <v>0.315</v>
      </c>
      <c r="R16" s="41">
        <f>26895/R8</f>
        <v>0.32268707931899171</v>
      </c>
      <c r="S16" s="41">
        <f>27238/S8</f>
        <v>0.30355849279497155</v>
      </c>
      <c r="T16" s="44">
        <f>27921/T8</f>
        <v>0.29547595110852426</v>
      </c>
      <c r="U16" s="44">
        <f>27600/U8</f>
        <v>0.29763188543329161</v>
      </c>
      <c r="V16" s="44">
        <f>27540/V8</f>
        <v>0.28974528927184928</v>
      </c>
      <c r="W16" s="44">
        <f>26284/W8</f>
        <v>0.27309470621850485</v>
      </c>
      <c r="X16" s="43"/>
    </row>
    <row r="17" spans="2:32" ht="12.75">
      <c r="B17" s="31"/>
      <c r="C17" s="20"/>
      <c r="D17" s="20" t="s">
        <v>9</v>
      </c>
      <c r="E17" s="45">
        <v>2.8000000000000001E-2</v>
      </c>
      <c r="F17" s="45">
        <v>2.5814930998995674E-2</v>
      </c>
      <c r="G17" s="45">
        <f>1570/G8</f>
        <v>1.0303527481542249E-2</v>
      </c>
      <c r="H17" s="44">
        <f>1289/H8</f>
        <v>8.8342734169927824E-3</v>
      </c>
      <c r="I17" s="44">
        <f>1202/I8</f>
        <v>8.7530857904356881E-3</v>
      </c>
      <c r="J17" s="44">
        <f>1201/J8</f>
        <v>8.9415338341386416E-3</v>
      </c>
      <c r="K17" s="44">
        <f>1087/K8</f>
        <v>8.2514138232056781E-3</v>
      </c>
      <c r="L17" s="43"/>
      <c r="N17" s="31"/>
      <c r="O17" s="20"/>
      <c r="P17" s="20" t="s">
        <v>9</v>
      </c>
      <c r="Q17" s="47">
        <v>0.02</v>
      </c>
      <c r="R17" s="47">
        <f>1564/R8</f>
        <v>1.8764922552701357E-2</v>
      </c>
      <c r="S17" s="47">
        <f>667/S8</f>
        <v>7.4334941880551441E-3</v>
      </c>
      <c r="T17" s="44">
        <f>722/T8</f>
        <v>7.6406159056034715E-3</v>
      </c>
      <c r="U17" s="44">
        <f>731/U8</f>
        <v>7.8829314583962386E-3</v>
      </c>
      <c r="V17" s="44">
        <f>778/V8</f>
        <v>8.1852518174836131E-3</v>
      </c>
      <c r="W17" s="44">
        <f>731/W8</f>
        <v>7.5951997506363963E-3</v>
      </c>
      <c r="X17" s="43"/>
    </row>
    <row r="18" spans="2:32" ht="12.75">
      <c r="B18" s="31"/>
      <c r="C18" s="4" t="s">
        <v>19</v>
      </c>
      <c r="D18" s="4" t="s">
        <v>11</v>
      </c>
      <c r="E18" s="44">
        <v>0.48699999999999999</v>
      </c>
      <c r="F18" s="44">
        <v>0.48199999999999998</v>
      </c>
      <c r="G18" s="44">
        <v>0.45400000000000001</v>
      </c>
      <c r="H18" s="42">
        <v>0.45500000000000002</v>
      </c>
      <c r="I18" s="42">
        <v>0.44800000000000001</v>
      </c>
      <c r="J18" s="42">
        <v>0.45300000000000001</v>
      </c>
      <c r="K18" s="42">
        <v>0.47</v>
      </c>
      <c r="L18" s="43"/>
      <c r="N18" s="31"/>
      <c r="O18" s="4" t="s">
        <v>19</v>
      </c>
      <c r="P18" s="4" t="s">
        <v>11</v>
      </c>
      <c r="Q18" s="41">
        <v>0.4</v>
      </c>
      <c r="R18" s="41">
        <v>0.39300000000000002</v>
      </c>
      <c r="S18" s="41">
        <v>0.374</v>
      </c>
      <c r="T18" s="42">
        <v>0.38400000000000001</v>
      </c>
      <c r="U18" s="42">
        <v>0.37</v>
      </c>
      <c r="V18" s="42">
        <v>0.378</v>
      </c>
      <c r="W18" s="42">
        <v>0.40500000000000003</v>
      </c>
      <c r="X18" s="43"/>
    </row>
    <row r="19" spans="2:32" ht="12.75">
      <c r="B19" s="31"/>
      <c r="C19" s="4"/>
      <c r="D19" s="4" t="s">
        <v>20</v>
      </c>
      <c r="E19" s="44">
        <v>0.224</v>
      </c>
      <c r="F19" s="44">
        <v>0.22900000000000001</v>
      </c>
      <c r="G19" s="44">
        <v>0.23100000000000001</v>
      </c>
      <c r="H19" s="44">
        <v>0.22700000000000001</v>
      </c>
      <c r="I19" s="44">
        <v>0.23300000000000001</v>
      </c>
      <c r="J19" s="44">
        <v>0.222</v>
      </c>
      <c r="K19" s="44">
        <v>0.218</v>
      </c>
      <c r="L19" s="43"/>
      <c r="N19" s="31"/>
      <c r="O19" s="4"/>
      <c r="P19" s="4" t="s">
        <v>20</v>
      </c>
      <c r="Q19" s="41">
        <v>0.23499999999999999</v>
      </c>
      <c r="R19" s="41">
        <v>0.24</v>
      </c>
      <c r="S19" s="41">
        <v>0.246</v>
      </c>
      <c r="T19" s="44">
        <v>0.24199999999999999</v>
      </c>
      <c r="U19" s="44">
        <v>0.251</v>
      </c>
      <c r="V19" s="44">
        <v>0.23899999999999999</v>
      </c>
      <c r="W19" s="44">
        <v>0.23300000000000001</v>
      </c>
      <c r="X19" s="43"/>
    </row>
    <row r="20" spans="2:32" ht="12.75">
      <c r="B20" s="31"/>
      <c r="C20" s="38"/>
      <c r="D20" s="38" t="s">
        <v>21</v>
      </c>
      <c r="E20" s="45">
        <f>1-E18-E19</f>
        <v>0.28900000000000003</v>
      </c>
      <c r="F20" s="45">
        <v>0.28799999999999998</v>
      </c>
      <c r="G20" s="45">
        <f>1-G18-G19</f>
        <v>0.31500000000000006</v>
      </c>
      <c r="H20" s="44">
        <f>1-H18-H19</f>
        <v>0.31799999999999995</v>
      </c>
      <c r="I20" s="44">
        <f>1-I18-I19</f>
        <v>0.31900000000000006</v>
      </c>
      <c r="J20" s="44">
        <f>1-J18-J19</f>
        <v>0.32499999999999996</v>
      </c>
      <c r="K20" s="44">
        <f>1-K18-K19</f>
        <v>0.31200000000000006</v>
      </c>
      <c r="L20" s="43"/>
      <c r="N20" s="31"/>
      <c r="O20" s="38"/>
      <c r="P20" s="38" t="s">
        <v>21</v>
      </c>
      <c r="Q20" s="48">
        <v>0.36</v>
      </c>
      <c r="R20" s="48">
        <v>0.36699999999999999</v>
      </c>
      <c r="S20" s="48">
        <f>1-S18-S19</f>
        <v>0.38</v>
      </c>
      <c r="T20" s="44">
        <v>0.38</v>
      </c>
      <c r="U20" s="44">
        <v>0.38</v>
      </c>
      <c r="V20" s="44">
        <v>0.38</v>
      </c>
      <c r="W20" s="44">
        <v>0.36</v>
      </c>
      <c r="X20" s="43"/>
    </row>
    <row r="21" spans="2:32" ht="12.75">
      <c r="B21" s="31"/>
      <c r="C21" s="4" t="s">
        <v>22</v>
      </c>
      <c r="D21" s="4" t="s">
        <v>23</v>
      </c>
      <c r="E21" s="44">
        <v>0.28199999999999997</v>
      </c>
      <c r="F21" s="44">
        <v>0.28100000000000003</v>
      </c>
      <c r="G21" s="44">
        <v>0.27700000000000002</v>
      </c>
      <c r="H21" s="42">
        <v>0.28199999999999997</v>
      </c>
      <c r="I21" s="42">
        <v>0.29199999999999998</v>
      </c>
      <c r="J21" s="42">
        <v>0.29199999999999998</v>
      </c>
      <c r="K21" s="42">
        <v>0.29799999999999999</v>
      </c>
      <c r="L21" s="43"/>
      <c r="N21" s="31"/>
      <c r="O21" s="4" t="s">
        <v>22</v>
      </c>
      <c r="P21" s="4" t="s">
        <v>23</v>
      </c>
      <c r="Q21" s="41">
        <v>0.28999999999999998</v>
      </c>
      <c r="R21" s="41">
        <v>0.29199999999999998</v>
      </c>
      <c r="S21" s="41">
        <v>0.27800000000000002</v>
      </c>
      <c r="T21" s="42">
        <v>0.27800000000000002</v>
      </c>
      <c r="U21" s="42">
        <v>0.28399999999999997</v>
      </c>
      <c r="V21" s="42">
        <v>0.28299999999999997</v>
      </c>
      <c r="W21" s="42">
        <v>0.28899999999999998</v>
      </c>
      <c r="X21" s="43"/>
    </row>
    <row r="22" spans="2:32" ht="12.75">
      <c r="B22" s="31"/>
      <c r="C22" s="4"/>
      <c r="D22" s="4" t="s">
        <v>24</v>
      </c>
      <c r="E22" s="44">
        <v>0.47</v>
      </c>
      <c r="F22" s="44">
        <v>0.47299999999999998</v>
      </c>
      <c r="G22" s="44">
        <v>0.48299999999999998</v>
      </c>
      <c r="H22" s="44">
        <v>0.48399999999999999</v>
      </c>
      <c r="I22" s="44">
        <v>0.48199999999999998</v>
      </c>
      <c r="J22" s="44">
        <v>0.48599999999999999</v>
      </c>
      <c r="K22" s="44">
        <v>0.48</v>
      </c>
      <c r="L22" s="43"/>
      <c r="N22" s="31"/>
      <c r="O22" s="4"/>
      <c r="P22" s="4" t="s">
        <v>24</v>
      </c>
      <c r="Q22" s="41">
        <v>0.48</v>
      </c>
      <c r="R22" s="41">
        <v>0.48099999999999998</v>
      </c>
      <c r="S22" s="41">
        <v>0.497</v>
      </c>
      <c r="T22" s="44">
        <v>0.496</v>
      </c>
      <c r="U22" s="44">
        <v>0.497</v>
      </c>
      <c r="V22" s="44">
        <v>0.498</v>
      </c>
      <c r="W22" s="44">
        <v>0.495</v>
      </c>
      <c r="X22" s="43"/>
    </row>
    <row r="23" spans="2:32" ht="12.75">
      <c r="B23" s="31"/>
      <c r="C23" s="20"/>
      <c r="D23" s="20" t="s">
        <v>25</v>
      </c>
      <c r="E23" s="45">
        <v>0.248</v>
      </c>
      <c r="F23" s="45">
        <v>0.245</v>
      </c>
      <c r="G23" s="45">
        <v>0.24</v>
      </c>
      <c r="H23" s="44">
        <v>0.24</v>
      </c>
      <c r="I23" s="44">
        <v>0.23</v>
      </c>
      <c r="J23" s="44">
        <f>1-J22-J21</f>
        <v>0.22200000000000003</v>
      </c>
      <c r="K23" s="44">
        <f>1-K22-K21</f>
        <v>0.22200000000000003</v>
      </c>
      <c r="L23" s="43"/>
      <c r="N23" s="31"/>
      <c r="O23" s="20"/>
      <c r="P23" s="20" t="s">
        <v>25</v>
      </c>
      <c r="Q23" s="46">
        <v>0.23</v>
      </c>
      <c r="R23" s="46">
        <v>0.22700000000000001</v>
      </c>
      <c r="S23" s="46">
        <v>0.22500000000000001</v>
      </c>
      <c r="T23" s="44">
        <v>0.22</v>
      </c>
      <c r="U23" s="44">
        <v>0.22</v>
      </c>
      <c r="V23" s="44">
        <v>0.22</v>
      </c>
      <c r="W23" s="44">
        <v>0.21</v>
      </c>
      <c r="X23" s="43"/>
    </row>
    <row r="24" spans="2:32" ht="12.75">
      <c r="B24" s="31"/>
      <c r="C24" s="4" t="s">
        <v>26</v>
      </c>
      <c r="D24" s="4" t="s">
        <v>27</v>
      </c>
      <c r="E24" s="4">
        <v>49</v>
      </c>
      <c r="F24" s="4">
        <v>49</v>
      </c>
      <c r="G24" s="4">
        <v>49</v>
      </c>
      <c r="H24" s="49">
        <v>49</v>
      </c>
      <c r="I24" s="49">
        <v>49</v>
      </c>
      <c r="J24" s="49">
        <v>49</v>
      </c>
      <c r="K24" s="49">
        <v>49</v>
      </c>
      <c r="L24" s="50"/>
      <c r="N24" s="31"/>
      <c r="O24" s="4" t="s">
        <v>26</v>
      </c>
      <c r="P24" s="4" t="s">
        <v>27</v>
      </c>
      <c r="Q24" s="22">
        <v>49</v>
      </c>
      <c r="R24" s="22">
        <v>49</v>
      </c>
      <c r="S24" s="22">
        <v>50</v>
      </c>
      <c r="T24" s="49">
        <v>50</v>
      </c>
      <c r="U24" s="49">
        <v>50</v>
      </c>
      <c r="V24" s="49">
        <v>50</v>
      </c>
      <c r="W24" s="49">
        <v>50</v>
      </c>
      <c r="X24" s="50"/>
    </row>
    <row r="25" spans="2:32" ht="12.75">
      <c r="B25" s="31"/>
      <c r="C25" s="4"/>
      <c r="D25" s="4" t="s">
        <v>28</v>
      </c>
      <c r="E25" s="44">
        <v>0.41</v>
      </c>
      <c r="F25" s="44">
        <v>0.41099999999999998</v>
      </c>
      <c r="G25" s="44">
        <v>0.42899999999999999</v>
      </c>
      <c r="H25" s="44">
        <v>0.42099999999999999</v>
      </c>
      <c r="I25" s="44">
        <v>0.41699999999999998</v>
      </c>
      <c r="J25" s="44">
        <v>0.41499999999999998</v>
      </c>
      <c r="K25" s="44">
        <v>0.40699999999999997</v>
      </c>
      <c r="L25" s="43"/>
      <c r="N25" s="31"/>
      <c r="O25" s="4"/>
      <c r="P25" s="4" t="s">
        <v>28</v>
      </c>
      <c r="Q25" s="41">
        <v>0.45700000000000002</v>
      </c>
      <c r="R25" s="41">
        <v>0.45800000000000002</v>
      </c>
      <c r="S25" s="41">
        <v>0.46899999999999997</v>
      </c>
      <c r="T25" s="44">
        <v>0.45200000000000001</v>
      </c>
      <c r="U25" s="44">
        <v>0.44400000000000001</v>
      </c>
      <c r="V25" s="44">
        <v>0.441</v>
      </c>
      <c r="W25" s="44">
        <v>0.43</v>
      </c>
      <c r="X25" s="43"/>
    </row>
    <row r="26" spans="2:32" ht="12.75">
      <c r="B26" s="31"/>
      <c r="C26" s="4"/>
      <c r="D26" s="4" t="s">
        <v>29</v>
      </c>
      <c r="E26" s="44">
        <v>0.66</v>
      </c>
      <c r="F26" s="44">
        <v>0.66</v>
      </c>
      <c r="G26" s="44">
        <v>0.71099999999999997</v>
      </c>
      <c r="H26" s="44">
        <v>0.73</v>
      </c>
      <c r="I26" s="44">
        <v>0.74199999999999999</v>
      </c>
      <c r="J26" s="44">
        <v>0.76500000000000001</v>
      </c>
      <c r="K26" s="44">
        <v>0.76</v>
      </c>
      <c r="L26" s="43"/>
      <c r="N26" s="31"/>
      <c r="O26" s="4"/>
      <c r="P26" s="4" t="s">
        <v>29</v>
      </c>
      <c r="Q26" s="41">
        <v>0.70799999999999996</v>
      </c>
      <c r="R26" s="41">
        <v>0.70899999999999996</v>
      </c>
      <c r="S26" s="41">
        <v>0.748</v>
      </c>
      <c r="T26" s="44">
        <v>0.76300000000000001</v>
      </c>
      <c r="U26" s="44">
        <v>0.76800000000000002</v>
      </c>
      <c r="V26" s="44">
        <v>0.79</v>
      </c>
      <c r="W26" s="44">
        <v>0.78500000000000003</v>
      </c>
      <c r="X26" s="43"/>
    </row>
    <row r="27" spans="2:32" ht="12.75">
      <c r="B27" s="31"/>
      <c r="C27" s="4"/>
      <c r="D27" s="4" t="s">
        <v>30</v>
      </c>
      <c r="E27" s="10">
        <v>7891</v>
      </c>
      <c r="F27" s="10">
        <v>7876</v>
      </c>
      <c r="G27" s="10">
        <f>(11521*G26*G8)/G8</f>
        <v>8191.4309999999996</v>
      </c>
      <c r="H27" s="10">
        <f>(11023*H26*H8)/H8</f>
        <v>8046.7899999999991</v>
      </c>
      <c r="I27" s="10">
        <f>(12600*I26*I8)/I8</f>
        <v>9349.2000000000007</v>
      </c>
      <c r="J27" s="10">
        <f>(13218*J26*J8)/J8</f>
        <v>10111.77</v>
      </c>
      <c r="K27" s="10">
        <f>(14959*K26*K8)/K8</f>
        <v>11368.84</v>
      </c>
      <c r="L27" s="51"/>
      <c r="N27" s="31"/>
      <c r="O27" s="4"/>
      <c r="P27" s="4" t="s">
        <v>30</v>
      </c>
      <c r="Q27" s="13">
        <v>9320</v>
      </c>
      <c r="R27" s="13">
        <v>9321.223</v>
      </c>
      <c r="S27" s="13">
        <f>(12493*S26)</f>
        <v>9344.7639999999992</v>
      </c>
      <c r="T27" s="10">
        <f>(11510*T26)</f>
        <v>8782.130000000001</v>
      </c>
      <c r="U27" s="10">
        <f>(13207*U26)</f>
        <v>10142.976000000001</v>
      </c>
      <c r="V27" s="10">
        <f>(13497*V26)</f>
        <v>10662.630000000001</v>
      </c>
      <c r="W27" s="10">
        <f>(15269*W26)</f>
        <v>11986.165000000001</v>
      </c>
      <c r="X27" s="51"/>
    </row>
    <row r="28" spans="2:32" ht="12.75">
      <c r="B28" s="31"/>
      <c r="C28" s="4"/>
      <c r="D28" s="4" t="s">
        <v>31</v>
      </c>
      <c r="E28" s="44">
        <v>0.88900000000000001</v>
      </c>
      <c r="F28" s="44">
        <v>0.88900000000000001</v>
      </c>
      <c r="G28" s="44">
        <v>0.91600000000000004</v>
      </c>
      <c r="H28" s="44">
        <v>0.91600000000000004</v>
      </c>
      <c r="I28" s="44">
        <v>0.92</v>
      </c>
      <c r="J28" s="44">
        <v>0.92400000000000004</v>
      </c>
      <c r="K28" s="44">
        <v>0.92100000000000004</v>
      </c>
      <c r="L28" s="43"/>
      <c r="N28" s="31"/>
      <c r="O28" s="4"/>
      <c r="P28" s="4" t="s">
        <v>31</v>
      </c>
      <c r="Q28" s="41">
        <v>0.91</v>
      </c>
      <c r="R28" s="41">
        <v>0.91100000000000003</v>
      </c>
      <c r="S28" s="41">
        <v>0.93600000000000005</v>
      </c>
      <c r="T28" s="44">
        <v>0.93</v>
      </c>
      <c r="U28" s="44">
        <v>0.93</v>
      </c>
      <c r="V28" s="44">
        <v>0.93400000000000005</v>
      </c>
      <c r="W28" s="44">
        <v>0.93100000000000005</v>
      </c>
      <c r="X28" s="43"/>
      <c r="AB28" s="11"/>
      <c r="AC28" s="11"/>
      <c r="AD28" s="11"/>
      <c r="AE28" s="11"/>
      <c r="AF28" s="11"/>
    </row>
    <row r="29" spans="2:32" ht="12.75">
      <c r="B29" s="31"/>
      <c r="C29" s="4"/>
      <c r="D29" s="4" t="s">
        <v>32</v>
      </c>
      <c r="E29" s="19">
        <v>29127</v>
      </c>
      <c r="F29" s="19">
        <v>29388</v>
      </c>
      <c r="G29" s="19">
        <v>33414</v>
      </c>
      <c r="H29" s="10">
        <v>33340</v>
      </c>
      <c r="I29" s="10">
        <v>33882</v>
      </c>
      <c r="J29" s="10">
        <v>34672</v>
      </c>
      <c r="K29" s="10">
        <v>35000</v>
      </c>
      <c r="L29" s="51"/>
      <c r="N29" s="31"/>
      <c r="O29" s="20"/>
      <c r="P29" s="20" t="s">
        <v>32</v>
      </c>
      <c r="Q29" s="39">
        <v>31775</v>
      </c>
      <c r="R29" s="39">
        <v>32227</v>
      </c>
      <c r="S29" s="39">
        <v>35821</v>
      </c>
      <c r="T29" s="10">
        <v>34941</v>
      </c>
      <c r="U29" s="10">
        <v>34934</v>
      </c>
      <c r="V29" s="10">
        <v>35817</v>
      </c>
      <c r="W29" s="10">
        <v>35925</v>
      </c>
      <c r="X29" s="51"/>
      <c r="AB29" s="11"/>
      <c r="AC29" s="11"/>
      <c r="AD29" s="11"/>
      <c r="AE29" s="11"/>
      <c r="AF29" s="11"/>
    </row>
    <row r="30" spans="2:32" ht="12.75">
      <c r="B30" s="31"/>
      <c r="C30" s="17" t="s">
        <v>33</v>
      </c>
      <c r="D30" s="17" t="s">
        <v>34</v>
      </c>
      <c r="E30" s="16">
        <v>4</v>
      </c>
      <c r="F30" s="16">
        <v>4</v>
      </c>
      <c r="G30" s="16">
        <v>4</v>
      </c>
      <c r="H30" s="15">
        <v>4</v>
      </c>
      <c r="I30" s="15">
        <v>4</v>
      </c>
      <c r="J30" s="15">
        <v>4</v>
      </c>
      <c r="K30" s="15">
        <v>4</v>
      </c>
      <c r="L30" s="52"/>
      <c r="N30" s="31"/>
      <c r="O30" s="4" t="s">
        <v>33</v>
      </c>
      <c r="P30" s="4" t="s">
        <v>34</v>
      </c>
      <c r="Q30" s="14">
        <v>4</v>
      </c>
      <c r="R30" s="14">
        <v>4</v>
      </c>
      <c r="S30" s="14">
        <v>4</v>
      </c>
      <c r="T30" s="15">
        <v>4</v>
      </c>
      <c r="U30" s="15">
        <v>4</v>
      </c>
      <c r="V30" s="15">
        <v>4</v>
      </c>
      <c r="W30" s="15">
        <v>4</v>
      </c>
      <c r="X30" s="52"/>
      <c r="AB30" s="11"/>
      <c r="AC30" s="11"/>
      <c r="AD30" s="11"/>
      <c r="AE30" s="11"/>
      <c r="AF30" s="11"/>
    </row>
    <row r="31" spans="2:32" ht="12.75">
      <c r="B31" s="31"/>
      <c r="C31" s="53"/>
      <c r="D31" s="20" t="s">
        <v>35</v>
      </c>
      <c r="E31" s="20">
        <v>1.4</v>
      </c>
      <c r="F31" s="20">
        <v>1.4</v>
      </c>
      <c r="G31" s="20">
        <v>1.4</v>
      </c>
      <c r="H31" s="16">
        <v>1.4</v>
      </c>
      <c r="I31" s="16">
        <v>1.4</v>
      </c>
      <c r="J31" s="16">
        <v>1.4</v>
      </c>
      <c r="K31" s="16">
        <v>1.3</v>
      </c>
      <c r="L31" s="52"/>
      <c r="N31" s="31"/>
      <c r="O31" s="53"/>
      <c r="P31" s="20" t="s">
        <v>35</v>
      </c>
      <c r="Q31" s="20">
        <v>1.5</v>
      </c>
      <c r="R31" s="20">
        <v>1.4</v>
      </c>
      <c r="S31" s="20">
        <v>1.4</v>
      </c>
      <c r="T31" s="16">
        <v>1.4</v>
      </c>
      <c r="U31" s="16">
        <v>1.4</v>
      </c>
      <c r="V31" s="16">
        <v>1.4</v>
      </c>
      <c r="W31" s="16">
        <v>1.4</v>
      </c>
      <c r="X31" s="52"/>
    </row>
    <row r="32" spans="2:32" ht="12.75">
      <c r="B32" s="31"/>
      <c r="C32" s="4" t="s">
        <v>36</v>
      </c>
      <c r="D32" s="4" t="s">
        <v>37</v>
      </c>
      <c r="E32" s="4">
        <v>20</v>
      </c>
      <c r="F32" s="4">
        <v>20</v>
      </c>
      <c r="G32" s="4">
        <v>20</v>
      </c>
      <c r="H32" s="49">
        <v>19.899999999999999</v>
      </c>
      <c r="I32" s="49">
        <v>20</v>
      </c>
      <c r="J32" s="49">
        <v>19.899999999999999</v>
      </c>
      <c r="K32" s="49">
        <v>19.8</v>
      </c>
      <c r="L32" s="50"/>
      <c r="N32" s="31"/>
      <c r="O32" s="4" t="s">
        <v>36</v>
      </c>
      <c r="P32" s="4" t="s">
        <v>37</v>
      </c>
      <c r="Q32" s="22">
        <v>20</v>
      </c>
      <c r="R32" s="22">
        <v>20</v>
      </c>
      <c r="S32" s="22">
        <v>19.899999999999999</v>
      </c>
      <c r="T32" s="49">
        <v>19.899999999999999</v>
      </c>
      <c r="U32" s="49">
        <v>19</v>
      </c>
      <c r="V32" s="49">
        <v>20</v>
      </c>
      <c r="W32" s="49">
        <v>19.899999999999999</v>
      </c>
      <c r="X32" s="50"/>
    </row>
    <row r="33" spans="2:32" ht="12.75">
      <c r="B33" s="31"/>
      <c r="C33" s="4"/>
      <c r="D33" s="4" t="s">
        <v>38</v>
      </c>
      <c r="E33" s="44">
        <v>0.56699999999999995</v>
      </c>
      <c r="F33" s="44">
        <v>0.58499999999999996</v>
      </c>
      <c r="G33" s="44">
        <v>0.496</v>
      </c>
      <c r="H33" s="44">
        <v>0.5</v>
      </c>
      <c r="I33" s="44">
        <v>0.50600000000000001</v>
      </c>
      <c r="J33" s="44">
        <v>0.505</v>
      </c>
      <c r="K33" s="44">
        <v>0.46100000000000002</v>
      </c>
      <c r="L33" s="43"/>
      <c r="N33" s="31"/>
      <c r="O33" s="4"/>
      <c r="P33" s="4" t="s">
        <v>38</v>
      </c>
      <c r="Q33" s="41">
        <v>0.57999999999999996</v>
      </c>
      <c r="R33" s="41">
        <v>0.59599999999999997</v>
      </c>
      <c r="S33" s="41">
        <v>0.51500000000000001</v>
      </c>
      <c r="T33" s="44">
        <v>0.51700000000000002</v>
      </c>
      <c r="U33" s="44">
        <v>0.52700000000000002</v>
      </c>
      <c r="V33" s="44">
        <v>0.52500000000000002</v>
      </c>
      <c r="W33" s="44">
        <v>0.47499999999999998</v>
      </c>
      <c r="X33" s="43"/>
    </row>
    <row r="34" spans="2:32" ht="12.75">
      <c r="B34" s="31"/>
      <c r="C34" s="20"/>
      <c r="D34" s="20" t="s">
        <v>39</v>
      </c>
      <c r="E34" s="19">
        <v>6180</v>
      </c>
      <c r="F34" s="19">
        <v>6351</v>
      </c>
      <c r="G34" s="19">
        <f>3137/G33</f>
        <v>6324.5967741935483</v>
      </c>
      <c r="H34" s="10">
        <f>3274/H33</f>
        <v>6548</v>
      </c>
      <c r="I34" s="10">
        <f>3434/I33</f>
        <v>6786.561264822134</v>
      </c>
      <c r="J34" s="10">
        <f>3560/J33</f>
        <v>7049.5049504950493</v>
      </c>
      <c r="K34" s="10">
        <f>3572/K33</f>
        <v>7748.3731019522775</v>
      </c>
      <c r="L34" s="51"/>
      <c r="N34" s="31"/>
      <c r="O34" s="20"/>
      <c r="P34" s="20" t="s">
        <v>39</v>
      </c>
      <c r="Q34" s="39">
        <v>5401</v>
      </c>
      <c r="R34" s="39">
        <v>5403</v>
      </c>
      <c r="S34" s="39">
        <f>2921/S33</f>
        <v>5671.844660194175</v>
      </c>
      <c r="T34" s="10">
        <f>3068/T33</f>
        <v>5934.2359767891685</v>
      </c>
      <c r="U34" s="10">
        <f>3339/U33</f>
        <v>6335.8633776091083</v>
      </c>
      <c r="V34" s="10">
        <f>3526/V33</f>
        <v>6716.1904761904761</v>
      </c>
      <c r="W34" s="10">
        <f>3544/W33</f>
        <v>7461.0526315789475</v>
      </c>
      <c r="X34" s="51"/>
    </row>
    <row r="35" spans="2:32" ht="12.75">
      <c r="B35" s="31"/>
      <c r="C35" s="4" t="s">
        <v>40</v>
      </c>
      <c r="D35" s="4" t="s">
        <v>61</v>
      </c>
      <c r="E35" s="44">
        <v>0.501</v>
      </c>
      <c r="F35" s="44">
        <v>0.50600000000000001</v>
      </c>
      <c r="G35" s="44">
        <v>0.503</v>
      </c>
      <c r="H35" s="42">
        <v>0.497</v>
      </c>
      <c r="I35" s="42">
        <v>0.50800000000000001</v>
      </c>
      <c r="J35" s="42">
        <v>0.505</v>
      </c>
      <c r="K35" s="42">
        <v>0.48799999999999999</v>
      </c>
      <c r="L35" s="43"/>
      <c r="N35" s="31"/>
      <c r="O35" s="4" t="s">
        <v>40</v>
      </c>
      <c r="P35" s="4" t="s">
        <v>61</v>
      </c>
      <c r="Q35" s="41">
        <v>0.45400000000000001</v>
      </c>
      <c r="R35" s="41">
        <v>0.45700000000000002</v>
      </c>
      <c r="S35" s="41">
        <v>0.46200000000000002</v>
      </c>
      <c r="T35" s="42">
        <v>0.46700000000000003</v>
      </c>
      <c r="U35" s="42">
        <v>0.48699999999999999</v>
      </c>
      <c r="V35" s="42">
        <v>0.48299999999999998</v>
      </c>
      <c r="W35" s="42">
        <v>0.46899999999999997</v>
      </c>
      <c r="X35" s="43"/>
    </row>
    <row r="36" spans="2:32" ht="12.75">
      <c r="B36" s="31"/>
      <c r="C36" s="4"/>
      <c r="D36" s="4" t="s">
        <v>41</v>
      </c>
      <c r="E36" s="10">
        <v>1288</v>
      </c>
      <c r="F36" s="10">
        <v>1270</v>
      </c>
      <c r="G36" s="10">
        <v>1452</v>
      </c>
      <c r="H36" s="10">
        <v>1474</v>
      </c>
      <c r="I36" s="10">
        <v>1486</v>
      </c>
      <c r="J36" s="10">
        <v>1497</v>
      </c>
      <c r="K36" s="10">
        <v>1596</v>
      </c>
      <c r="L36" s="51"/>
      <c r="N36" s="31"/>
      <c r="O36" s="4"/>
      <c r="P36" s="4" t="s">
        <v>41</v>
      </c>
      <c r="Q36" s="13">
        <v>1503</v>
      </c>
      <c r="R36" s="13">
        <v>1500</v>
      </c>
      <c r="S36" s="13">
        <v>1646</v>
      </c>
      <c r="T36" s="10">
        <v>1614</v>
      </c>
      <c r="U36" s="10">
        <v>1606</v>
      </c>
      <c r="V36" s="10">
        <v>1598</v>
      </c>
      <c r="W36" s="10">
        <v>1666</v>
      </c>
      <c r="X36" s="51"/>
    </row>
    <row r="37" spans="2:32" ht="12.75">
      <c r="B37" s="31"/>
      <c r="C37" s="4"/>
      <c r="D37" s="4" t="s">
        <v>42</v>
      </c>
      <c r="E37" s="10">
        <v>3430</v>
      </c>
      <c r="F37" s="10">
        <v>3398</v>
      </c>
      <c r="G37" s="10">
        <v>3759</v>
      </c>
      <c r="H37" s="10">
        <v>3784</v>
      </c>
      <c r="I37" s="10">
        <v>3794</v>
      </c>
      <c r="J37" s="10">
        <v>3769</v>
      </c>
      <c r="K37" s="10">
        <v>3870</v>
      </c>
      <c r="L37" s="51"/>
      <c r="N37" s="31"/>
      <c r="O37" s="4"/>
      <c r="P37" s="4" t="s">
        <v>42</v>
      </c>
      <c r="Q37" s="13">
        <v>3798</v>
      </c>
      <c r="R37" s="13">
        <v>3782</v>
      </c>
      <c r="S37" s="13">
        <v>4077</v>
      </c>
      <c r="T37" s="10">
        <v>4011</v>
      </c>
      <c r="U37" s="10">
        <v>3969</v>
      </c>
      <c r="V37" s="10">
        <v>3924</v>
      </c>
      <c r="W37" s="10">
        <v>3978</v>
      </c>
      <c r="X37" s="51"/>
    </row>
    <row r="38" spans="2:32" ht="13.5" thickBot="1">
      <c r="B38" s="54"/>
      <c r="C38" s="55"/>
      <c r="D38" s="55"/>
      <c r="E38" s="55"/>
      <c r="F38" s="56"/>
      <c r="G38" s="56"/>
      <c r="H38" s="56"/>
      <c r="I38" s="57"/>
      <c r="J38" s="56"/>
      <c r="K38" s="55"/>
      <c r="L38" s="75"/>
      <c r="N38" s="54"/>
      <c r="O38" s="55"/>
      <c r="P38" s="55"/>
      <c r="Q38" s="56"/>
      <c r="R38" s="56"/>
      <c r="S38" s="56"/>
      <c r="T38" s="56"/>
      <c r="U38" s="56"/>
      <c r="V38" s="55"/>
      <c r="W38" s="55"/>
      <c r="X38" s="58"/>
    </row>
    <row r="39" spans="2:32" ht="12" thickTop="1">
      <c r="L39" s="76"/>
      <c r="P39" s="11"/>
      <c r="Q39" s="11"/>
      <c r="R39" s="11"/>
      <c r="S39" s="11"/>
      <c r="T39" s="11"/>
      <c r="U39" s="11"/>
    </row>
    <row r="40" spans="2:32">
      <c r="AB40" s="11"/>
      <c r="AC40" s="11"/>
      <c r="AD40" s="11"/>
      <c r="AE40" s="11"/>
      <c r="AF40" s="11"/>
    </row>
    <row r="41" spans="2:32" ht="18.75">
      <c r="B41" s="1" t="s">
        <v>56</v>
      </c>
      <c r="D41" s="24"/>
      <c r="E41" s="1" t="s">
        <v>0</v>
      </c>
      <c r="F41" s="1"/>
      <c r="G41" s="1"/>
      <c r="H41" s="1"/>
      <c r="I41" s="1"/>
      <c r="J41" s="25"/>
      <c r="N41" s="1" t="s">
        <v>57</v>
      </c>
      <c r="P41" s="24"/>
      <c r="Q41" s="1"/>
      <c r="R41" s="3"/>
      <c r="S41" s="1" t="s">
        <v>0</v>
      </c>
      <c r="T41" s="1"/>
      <c r="U41" s="1"/>
      <c r="V41" s="25"/>
      <c r="AB41" s="11"/>
      <c r="AC41" s="11"/>
      <c r="AD41" s="11"/>
      <c r="AE41" s="11"/>
      <c r="AF41" s="11"/>
    </row>
    <row r="42" spans="2:32" ht="18.75">
      <c r="B42" s="1" t="s">
        <v>43</v>
      </c>
      <c r="D42" s="24"/>
      <c r="E42" s="1"/>
      <c r="F42" s="1"/>
      <c r="G42" s="1"/>
      <c r="H42" s="1"/>
      <c r="I42" s="1"/>
      <c r="J42" s="25"/>
      <c r="N42" s="1" t="s">
        <v>44</v>
      </c>
      <c r="P42" s="24"/>
      <c r="Q42" s="1"/>
      <c r="R42" s="1"/>
      <c r="S42" s="1"/>
      <c r="T42" s="1"/>
      <c r="U42" s="1"/>
      <c r="V42" s="25"/>
    </row>
    <row r="43" spans="2:32" ht="18.75">
      <c r="B43" s="1" t="s">
        <v>54</v>
      </c>
      <c r="D43" s="1"/>
      <c r="E43" s="1"/>
      <c r="F43" s="1"/>
      <c r="G43" s="1" t="s">
        <v>0</v>
      </c>
      <c r="H43" s="1"/>
      <c r="I43" s="1"/>
      <c r="J43" s="25"/>
      <c r="N43" s="1" t="s">
        <v>54</v>
      </c>
      <c r="P43" s="1"/>
      <c r="Q43" s="1"/>
      <c r="R43" s="1"/>
      <c r="S43" s="1"/>
      <c r="T43" s="1"/>
      <c r="U43" s="1"/>
      <c r="V43" s="25"/>
    </row>
    <row r="44" spans="2:32" ht="19.5" thickBot="1">
      <c r="B44" s="1"/>
      <c r="D44" s="1"/>
      <c r="E44" s="1"/>
      <c r="F44" s="1"/>
      <c r="G44" s="1"/>
      <c r="H44" s="1"/>
      <c r="I44" s="1"/>
      <c r="J44" s="25"/>
      <c r="N44" s="1"/>
      <c r="P44" s="1"/>
      <c r="Q44" s="1"/>
      <c r="R44" s="26"/>
      <c r="S44" s="1"/>
      <c r="T44" s="1"/>
      <c r="U44" s="1"/>
      <c r="V44" s="25"/>
    </row>
    <row r="45" spans="2:32" ht="13.5" thickTop="1">
      <c r="B45" s="59"/>
      <c r="C45" s="28"/>
      <c r="D45" s="28"/>
      <c r="E45" s="29" t="s">
        <v>1</v>
      </c>
      <c r="F45" s="29" t="s">
        <v>2</v>
      </c>
      <c r="G45" s="29" t="s">
        <v>3</v>
      </c>
      <c r="H45" s="29" t="s">
        <v>4</v>
      </c>
      <c r="I45" s="29" t="s">
        <v>5</v>
      </c>
      <c r="J45" s="29" t="s">
        <v>6</v>
      </c>
      <c r="K45" s="29" t="s">
        <v>55</v>
      </c>
      <c r="L45" s="30"/>
      <c r="N45" s="59"/>
      <c r="O45" s="28"/>
      <c r="P45" s="28"/>
      <c r="Q45" s="29" t="s">
        <v>1</v>
      </c>
      <c r="R45" s="29" t="s">
        <v>2</v>
      </c>
      <c r="S45" s="29" t="s">
        <v>3</v>
      </c>
      <c r="T45" s="29" t="s">
        <v>4</v>
      </c>
      <c r="U45" s="29" t="s">
        <v>5</v>
      </c>
      <c r="V45" s="29" t="s">
        <v>6</v>
      </c>
      <c r="W45" s="29" t="s">
        <v>55</v>
      </c>
      <c r="X45" s="30"/>
    </row>
    <row r="46" spans="2:32" ht="12.75">
      <c r="B46" s="60"/>
      <c r="C46" s="6"/>
      <c r="D46" s="6"/>
      <c r="E46" s="7"/>
      <c r="F46" s="7"/>
      <c r="G46" s="7"/>
      <c r="H46" s="7"/>
      <c r="I46" s="7"/>
      <c r="J46" s="7"/>
      <c r="K46" s="7"/>
      <c r="L46" s="32"/>
      <c r="N46" s="60"/>
      <c r="O46" s="6"/>
      <c r="P46" s="6"/>
      <c r="Q46" s="7"/>
      <c r="R46" s="7"/>
      <c r="S46" s="7"/>
      <c r="T46" s="7"/>
      <c r="U46" s="7"/>
      <c r="V46" s="7"/>
      <c r="W46" s="7"/>
      <c r="X46" s="32"/>
    </row>
    <row r="47" spans="2:32" ht="12.75">
      <c r="B47" s="61"/>
      <c r="C47" s="20" t="s">
        <v>14</v>
      </c>
      <c r="D47" s="20"/>
      <c r="E47" s="62">
        <v>202266</v>
      </c>
      <c r="F47" s="62">
        <v>186311</v>
      </c>
      <c r="G47" s="34">
        <v>134337</v>
      </c>
      <c r="H47" s="34">
        <v>121474</v>
      </c>
      <c r="I47" s="34">
        <v>110818</v>
      </c>
      <c r="J47" s="34">
        <v>104622</v>
      </c>
      <c r="K47" s="34">
        <v>102555</v>
      </c>
      <c r="L47" s="35"/>
      <c r="N47" s="61"/>
      <c r="O47" s="20" t="s">
        <v>15</v>
      </c>
      <c r="P47" s="20"/>
      <c r="Q47" s="33">
        <v>49861</v>
      </c>
      <c r="R47" s="33">
        <v>45052</v>
      </c>
      <c r="S47" s="18">
        <v>39136</v>
      </c>
      <c r="T47" s="34">
        <v>44426</v>
      </c>
      <c r="U47" s="34">
        <v>47185</v>
      </c>
      <c r="V47" s="34">
        <v>50577</v>
      </c>
      <c r="W47" s="34">
        <v>50508</v>
      </c>
      <c r="X47" s="35"/>
      <c r="AB47" s="11"/>
      <c r="AC47" s="11"/>
      <c r="AD47" s="11"/>
      <c r="AE47" s="11"/>
      <c r="AF47" s="11"/>
    </row>
    <row r="48" spans="2:32" ht="12.75">
      <c r="B48" s="63"/>
      <c r="C48" s="4" t="s">
        <v>16</v>
      </c>
      <c r="D48" s="4" t="s">
        <v>10</v>
      </c>
      <c r="E48" s="10">
        <v>2621</v>
      </c>
      <c r="F48" s="10">
        <v>2645</v>
      </c>
      <c r="G48" s="13">
        <v>2956</v>
      </c>
      <c r="H48" s="13">
        <v>3168</v>
      </c>
      <c r="I48" s="13">
        <v>3212</v>
      </c>
      <c r="J48" s="13">
        <v>3434</v>
      </c>
      <c r="K48" s="13">
        <v>4408</v>
      </c>
      <c r="L48" s="36"/>
      <c r="N48" s="63"/>
      <c r="O48" s="4" t="s">
        <v>17</v>
      </c>
      <c r="P48" s="4" t="s">
        <v>10</v>
      </c>
      <c r="Q48" s="13">
        <v>2098</v>
      </c>
      <c r="R48" s="13">
        <v>2134</v>
      </c>
      <c r="S48" s="37">
        <v>2286</v>
      </c>
      <c r="T48" s="13">
        <v>2378</v>
      </c>
      <c r="U48" s="13">
        <v>2311</v>
      </c>
      <c r="V48" s="13">
        <v>2302</v>
      </c>
      <c r="W48" s="13">
        <v>2907</v>
      </c>
      <c r="X48" s="36"/>
    </row>
    <row r="49" spans="2:32" ht="12.75">
      <c r="B49" s="63"/>
      <c r="C49" s="4"/>
      <c r="D49" s="4" t="s">
        <v>7</v>
      </c>
      <c r="E49" s="10">
        <v>4209</v>
      </c>
      <c r="F49" s="10">
        <v>4250</v>
      </c>
      <c r="G49" s="13">
        <v>4765</v>
      </c>
      <c r="H49" s="13">
        <v>5208</v>
      </c>
      <c r="I49" s="13">
        <v>5174</v>
      </c>
      <c r="J49" s="13">
        <v>5448</v>
      </c>
      <c r="K49" s="13">
        <v>6997</v>
      </c>
      <c r="L49" s="36"/>
      <c r="N49" s="63"/>
      <c r="O49" s="4"/>
      <c r="P49" s="4" t="s">
        <v>7</v>
      </c>
      <c r="Q49" s="13">
        <v>3029</v>
      </c>
      <c r="R49" s="13">
        <v>3046</v>
      </c>
      <c r="S49" s="12">
        <v>3266</v>
      </c>
      <c r="T49" s="13">
        <v>3585</v>
      </c>
      <c r="U49" s="13">
        <v>3526</v>
      </c>
      <c r="V49" s="13">
        <v>3582</v>
      </c>
      <c r="W49" s="13">
        <v>4599</v>
      </c>
      <c r="X49" s="36"/>
      <c r="AB49" s="11"/>
      <c r="AE49" s="11"/>
      <c r="AF49" s="11"/>
    </row>
    <row r="50" spans="2:32" ht="12.75">
      <c r="B50" s="63"/>
      <c r="C50" s="4"/>
      <c r="D50" s="4" t="s">
        <v>8</v>
      </c>
      <c r="E50" s="10">
        <v>1620</v>
      </c>
      <c r="F50" s="10">
        <v>1599</v>
      </c>
      <c r="G50" s="13">
        <v>1771</v>
      </c>
      <c r="H50" s="13">
        <v>1808</v>
      </c>
      <c r="I50" s="13">
        <v>1806</v>
      </c>
      <c r="J50" s="13">
        <v>2005</v>
      </c>
      <c r="K50" s="13">
        <v>2750</v>
      </c>
      <c r="L50" s="36"/>
      <c r="N50" s="63"/>
      <c r="O50" s="4"/>
      <c r="P50" s="4" t="s">
        <v>8</v>
      </c>
      <c r="Q50" s="13">
        <v>871</v>
      </c>
      <c r="R50" s="13">
        <v>859</v>
      </c>
      <c r="S50" s="12">
        <v>927</v>
      </c>
      <c r="T50" s="13">
        <v>938</v>
      </c>
      <c r="U50" s="13">
        <v>928</v>
      </c>
      <c r="V50" s="13">
        <v>928</v>
      </c>
      <c r="W50" s="13">
        <v>1318</v>
      </c>
      <c r="X50" s="36"/>
      <c r="AB50" s="11"/>
      <c r="AC50" s="11"/>
      <c r="AD50" s="11"/>
      <c r="AE50" s="11"/>
      <c r="AF50" s="11"/>
    </row>
    <row r="51" spans="2:32" ht="12.75">
      <c r="B51" s="63"/>
      <c r="C51" s="4"/>
      <c r="D51" s="4" t="s">
        <v>60</v>
      </c>
      <c r="E51" s="10">
        <v>4629</v>
      </c>
      <c r="F51" s="10">
        <v>4685</v>
      </c>
      <c r="G51" s="13">
        <v>4836</v>
      </c>
      <c r="H51" s="13">
        <v>5306</v>
      </c>
      <c r="I51" s="13">
        <v>5293</v>
      </c>
      <c r="J51" s="13">
        <v>5593</v>
      </c>
      <c r="K51" s="13">
        <v>7139</v>
      </c>
      <c r="L51" s="36"/>
      <c r="N51" s="63"/>
      <c r="O51" s="4"/>
      <c r="P51" s="4" t="s">
        <v>60</v>
      </c>
      <c r="Q51" s="13">
        <v>3193</v>
      </c>
      <c r="R51" s="13">
        <v>3191</v>
      </c>
      <c r="S51" s="12">
        <v>3335</v>
      </c>
      <c r="T51" s="13">
        <v>3658</v>
      </c>
      <c r="U51" s="13">
        <v>3676</v>
      </c>
      <c r="V51" s="13">
        <v>3758</v>
      </c>
      <c r="W51" s="13">
        <v>4752</v>
      </c>
      <c r="X51" s="36"/>
      <c r="AB51" s="11"/>
      <c r="AC51" s="11"/>
      <c r="AD51" s="11"/>
      <c r="AE51" s="11"/>
      <c r="AF51" s="11"/>
    </row>
    <row r="52" spans="2:32" ht="12.75">
      <c r="B52" s="61"/>
      <c r="C52" s="38"/>
      <c r="D52" s="38" t="s">
        <v>9</v>
      </c>
      <c r="E52" s="19">
        <v>4607</v>
      </c>
      <c r="F52" s="19">
        <v>4641</v>
      </c>
      <c r="G52" s="39">
        <v>4825</v>
      </c>
      <c r="H52" s="40">
        <v>5278</v>
      </c>
      <c r="I52" s="40">
        <v>5249</v>
      </c>
      <c r="J52" s="40">
        <v>5549</v>
      </c>
      <c r="K52" s="40">
        <v>7124</v>
      </c>
      <c r="L52" s="36"/>
      <c r="N52" s="61"/>
      <c r="O52" s="38"/>
      <c r="P52" s="38" t="s">
        <v>9</v>
      </c>
      <c r="Q52" s="39">
        <v>2632</v>
      </c>
      <c r="R52" s="39">
        <v>2648</v>
      </c>
      <c r="S52" s="12">
        <v>2809</v>
      </c>
      <c r="T52" s="40">
        <v>3170</v>
      </c>
      <c r="U52" s="40">
        <v>3114</v>
      </c>
      <c r="V52" s="40">
        <v>3184</v>
      </c>
      <c r="W52" s="40">
        <v>4057</v>
      </c>
      <c r="X52" s="36"/>
      <c r="AB52" s="11"/>
      <c r="AC52" s="11"/>
      <c r="AD52" s="11"/>
      <c r="AE52" s="11"/>
      <c r="AF52" s="11"/>
    </row>
    <row r="53" spans="2:32" ht="12.75">
      <c r="B53" s="64"/>
      <c r="C53" s="4" t="s">
        <v>18</v>
      </c>
      <c r="D53" s="4" t="s">
        <v>7</v>
      </c>
      <c r="E53" s="44">
        <v>0.14599999999999999</v>
      </c>
      <c r="F53" s="44">
        <f>28345/F47</f>
        <v>0.15213809168540773</v>
      </c>
      <c r="G53" s="41">
        <f>23340/G47</f>
        <v>0.1737421559213024</v>
      </c>
      <c r="H53" s="42">
        <f>21498/H47</f>
        <v>0.1769761430429557</v>
      </c>
      <c r="I53" s="42">
        <f>20532/I47</f>
        <v>0.18527676009312566</v>
      </c>
      <c r="J53" s="42">
        <v>0.19</v>
      </c>
      <c r="K53" s="44">
        <f>18011/K47</f>
        <v>0.17562283652674174</v>
      </c>
      <c r="L53" s="43"/>
      <c r="N53" s="64"/>
      <c r="O53" s="4" t="s">
        <v>18</v>
      </c>
      <c r="P53" s="4" t="s">
        <v>7</v>
      </c>
      <c r="Q53" s="41">
        <v>0.252</v>
      </c>
      <c r="R53" s="41">
        <f>11684/R47</f>
        <v>0.25934475716949301</v>
      </c>
      <c r="S53" s="42">
        <f>10852/S47</f>
        <v>0.27728945216680295</v>
      </c>
      <c r="T53" s="42">
        <f>11415/T47</f>
        <v>0.2569441318147031</v>
      </c>
      <c r="U53" s="42">
        <f>11841/U47</f>
        <v>0.25094839461693336</v>
      </c>
      <c r="V53" s="42">
        <f>12117/V47</f>
        <v>0.23957530102615812</v>
      </c>
      <c r="W53" s="42">
        <f>11405/W47</f>
        <v>0.22580581294052426</v>
      </c>
      <c r="X53" s="43"/>
      <c r="AB53" s="11"/>
      <c r="AC53" s="11"/>
      <c r="AD53" s="11"/>
      <c r="AE53" s="11"/>
      <c r="AF53" s="11"/>
    </row>
    <row r="54" spans="2:32" ht="12.75">
      <c r="B54" s="64"/>
      <c r="C54" s="4"/>
      <c r="D54" s="4" t="s">
        <v>8</v>
      </c>
      <c r="E54" s="44">
        <v>0.64600000000000002</v>
      </c>
      <c r="F54" s="44">
        <f>118939/F47</f>
        <v>0.63838957442126332</v>
      </c>
      <c r="G54" s="44">
        <f>81714/G47</f>
        <v>0.60827620089774226</v>
      </c>
      <c r="H54" s="44">
        <f>73601/H47</f>
        <v>0.60589920476809855</v>
      </c>
      <c r="I54" s="44">
        <f>65363/I47</f>
        <v>0.58982295294988174</v>
      </c>
      <c r="J54" s="44">
        <f>62089/J47</f>
        <v>0.59346026648314887</v>
      </c>
      <c r="K54" s="44">
        <f>63202/K47</f>
        <v>0.61627419433474717</v>
      </c>
      <c r="L54" s="43"/>
      <c r="N54" s="64"/>
      <c r="O54" s="4"/>
      <c r="P54" s="4" t="s">
        <v>8</v>
      </c>
      <c r="Q54" s="41">
        <v>0.436</v>
      </c>
      <c r="R54" s="41">
        <f>19017/R47</f>
        <v>0.42211222587232533</v>
      </c>
      <c r="S54" s="44">
        <f>16170/S47</f>
        <v>0.41317457072771874</v>
      </c>
      <c r="T54" s="44">
        <f>20122/T47</f>
        <v>0.45293296718138026</v>
      </c>
      <c r="U54" s="44">
        <f>22144/U47</f>
        <v>0.46930168485747592</v>
      </c>
      <c r="V54" s="44">
        <f>24541/V47</f>
        <v>0.48522055479763526</v>
      </c>
      <c r="W54" s="44">
        <f>25894/W47</f>
        <v>0.51267125999841612</v>
      </c>
      <c r="X54" s="43"/>
    </row>
    <row r="55" spans="2:32" ht="12.75">
      <c r="B55" s="64"/>
      <c r="C55" s="4"/>
      <c r="D55" s="4" t="s">
        <v>60</v>
      </c>
      <c r="E55" s="44">
        <v>0.13300000000000001</v>
      </c>
      <c r="F55" s="44">
        <f>25467/F47</f>
        <v>0.1366908019386939</v>
      </c>
      <c r="G55" s="44">
        <f>19996/G47</f>
        <v>0.14884953512435145</v>
      </c>
      <c r="H55" s="44">
        <f>19924/H47</f>
        <v>0.16401863773317746</v>
      </c>
      <c r="I55" s="44">
        <f>18297/I47</f>
        <v>0.16510855637170857</v>
      </c>
      <c r="J55" s="44">
        <f>16532/J47</f>
        <v>0.15801647836975014</v>
      </c>
      <c r="K55" s="44">
        <f>14776/K47</f>
        <v>0.14407878699234558</v>
      </c>
      <c r="L55" s="43"/>
      <c r="N55" s="64"/>
      <c r="O55" s="4"/>
      <c r="P55" s="4" t="s">
        <v>60</v>
      </c>
      <c r="Q55" s="41">
        <v>0.22600000000000001</v>
      </c>
      <c r="R55" s="41">
        <f>10719/R47</f>
        <v>0.23792506437006125</v>
      </c>
      <c r="S55" s="44">
        <f>8809/S47</f>
        <v>0.22508687653311529</v>
      </c>
      <c r="T55" s="44">
        <f>10229/T47</f>
        <v>0.23024805294197093</v>
      </c>
      <c r="U55" s="44">
        <f>10055/U47</f>
        <v>0.21309738264278902</v>
      </c>
      <c r="V55" s="44">
        <f>10348/V47</f>
        <v>0.20459892836664886</v>
      </c>
      <c r="W55" s="44">
        <f>9562/W47</f>
        <v>0.18931654391383543</v>
      </c>
      <c r="X55" s="43"/>
    </row>
    <row r="56" spans="2:32" ht="12.75">
      <c r="B56" s="64"/>
      <c r="C56" s="20"/>
      <c r="D56" s="20" t="s">
        <v>9</v>
      </c>
      <c r="E56" s="45">
        <v>6.7000000000000004E-2</v>
      </c>
      <c r="F56" s="45">
        <f>12004/F47</f>
        <v>6.4429904836536753E-2</v>
      </c>
      <c r="G56" s="45">
        <f>7363/G47</f>
        <v>5.4809918339697922E-2</v>
      </c>
      <c r="H56" s="44">
        <f>6451/H47</f>
        <v>5.3106014455768312E-2</v>
      </c>
      <c r="I56" s="44">
        <f>6642/I47</f>
        <v>5.9936111462036853E-2</v>
      </c>
      <c r="J56" s="44">
        <f>6708/J47</f>
        <v>6.4116533807420995E-2</v>
      </c>
      <c r="K56" s="44">
        <f>6566/K47</f>
        <v>6.4024182146165468E-2</v>
      </c>
      <c r="L56" s="43"/>
      <c r="N56" s="64"/>
      <c r="O56" s="20"/>
      <c r="P56" s="20" t="s">
        <v>9</v>
      </c>
      <c r="Q56" s="46">
        <v>7.0000000000000007E-2</v>
      </c>
      <c r="R56" s="46">
        <f>2891/R47</f>
        <v>6.4170292106898688E-2</v>
      </c>
      <c r="S56" s="44">
        <f>2423/S47</f>
        <v>6.1912305805396563E-2</v>
      </c>
      <c r="T56" s="44">
        <f>2660/T47</f>
        <v>5.9874848061945707E-2</v>
      </c>
      <c r="U56" s="44">
        <f>3145/U47</f>
        <v>6.6652537882801732E-2</v>
      </c>
      <c r="V56" s="44">
        <f>3571/V47</f>
        <v>7.0605215809557698E-2</v>
      </c>
      <c r="W56" s="44">
        <f>3647/W47</f>
        <v>7.2206383147224204E-2</v>
      </c>
      <c r="X56" s="43"/>
    </row>
    <row r="57" spans="2:32" ht="12.75">
      <c r="B57" s="64"/>
      <c r="C57" s="4" t="s">
        <v>19</v>
      </c>
      <c r="D57" s="4" t="s">
        <v>11</v>
      </c>
      <c r="E57" s="44">
        <v>0.499</v>
      </c>
      <c r="F57" s="44">
        <v>0.48499999999999999</v>
      </c>
      <c r="G57" s="44">
        <v>0.45800000000000002</v>
      </c>
      <c r="H57" s="42">
        <v>0.45600000000000002</v>
      </c>
      <c r="I57" s="42">
        <v>0.44400000000000001</v>
      </c>
      <c r="J57" s="42">
        <v>0.45300000000000001</v>
      </c>
      <c r="K57" s="42">
        <v>0.48</v>
      </c>
      <c r="L57" s="43"/>
      <c r="N57" s="64"/>
      <c r="O57" s="4" t="s">
        <v>19</v>
      </c>
      <c r="P57" s="4" t="s">
        <v>11</v>
      </c>
      <c r="Q57" s="41">
        <v>0.27</v>
      </c>
      <c r="R57" s="41">
        <v>0.252</v>
      </c>
      <c r="S57" s="42">
        <v>0.25700000000000001</v>
      </c>
      <c r="T57" s="42">
        <v>0.28299999999999997</v>
      </c>
      <c r="U57" s="42">
        <v>0.28599999999999998</v>
      </c>
      <c r="V57" s="42">
        <v>0.32500000000000001</v>
      </c>
      <c r="W57" s="42">
        <v>0.35</v>
      </c>
      <c r="X57" s="43"/>
    </row>
    <row r="58" spans="2:32" ht="12.75">
      <c r="B58" s="64"/>
      <c r="C58" s="4"/>
      <c r="D58" s="4" t="s">
        <v>20</v>
      </c>
      <c r="E58" s="44">
        <v>0.218</v>
      </c>
      <c r="F58" s="44">
        <v>0.217</v>
      </c>
      <c r="G58" s="44">
        <v>0.20499999999999999</v>
      </c>
      <c r="H58" s="44">
        <v>0.20300000000000001</v>
      </c>
      <c r="I58" s="44">
        <v>0.20300000000000001</v>
      </c>
      <c r="J58" s="44">
        <v>0.19500000000000001</v>
      </c>
      <c r="K58" s="44">
        <v>0.19</v>
      </c>
      <c r="L58" s="43"/>
      <c r="N58" s="64"/>
      <c r="O58" s="4"/>
      <c r="P58" s="4" t="s">
        <v>20</v>
      </c>
      <c r="Q58" s="41">
        <v>0.26</v>
      </c>
      <c r="R58" s="41">
        <v>0.25900000000000001</v>
      </c>
      <c r="S58" s="44">
        <v>0.23200000000000001</v>
      </c>
      <c r="T58" s="44">
        <v>0.23200000000000001</v>
      </c>
      <c r="U58" s="44">
        <v>0.23699999999999999</v>
      </c>
      <c r="V58" s="44">
        <v>0.22</v>
      </c>
      <c r="W58" s="44">
        <v>0.218</v>
      </c>
      <c r="X58" s="43"/>
    </row>
    <row r="59" spans="2:32" ht="12.75">
      <c r="B59" s="61"/>
      <c r="C59" s="38"/>
      <c r="D59" s="38" t="s">
        <v>21</v>
      </c>
      <c r="E59" s="45">
        <v>0.28199999999999997</v>
      </c>
      <c r="F59" s="45">
        <v>0.28999999999999998</v>
      </c>
      <c r="G59" s="45">
        <f>1-G58-G57</f>
        <v>0.33700000000000002</v>
      </c>
      <c r="H59" s="44">
        <f>1-H58-H57</f>
        <v>0.34099999999999991</v>
      </c>
      <c r="I59" s="44">
        <v>0.36</v>
      </c>
      <c r="J59" s="44">
        <v>0.35</v>
      </c>
      <c r="K59" s="44">
        <v>0.33</v>
      </c>
      <c r="L59" s="43"/>
      <c r="N59" s="61"/>
      <c r="O59" s="38"/>
      <c r="P59" s="38" t="s">
        <v>21</v>
      </c>
      <c r="Q59" s="48">
        <v>0.46</v>
      </c>
      <c r="R59" s="48">
        <v>0.48899999999999999</v>
      </c>
      <c r="S59" s="48">
        <f>1-S58-S57</f>
        <v>0.51100000000000001</v>
      </c>
      <c r="T59" s="44">
        <f>1-T58-T57</f>
        <v>0.48500000000000004</v>
      </c>
      <c r="U59" s="44">
        <v>0.47</v>
      </c>
      <c r="V59" s="44">
        <v>0.45</v>
      </c>
      <c r="W59" s="44">
        <v>0.43</v>
      </c>
      <c r="X59" s="43"/>
    </row>
    <row r="60" spans="2:32" ht="12.75">
      <c r="B60" s="64"/>
      <c r="C60" s="4" t="s">
        <v>22</v>
      </c>
      <c r="D60" s="4" t="s">
        <v>23</v>
      </c>
      <c r="E60" s="44">
        <v>0.28000000000000003</v>
      </c>
      <c r="F60" s="44">
        <v>0.28199999999999997</v>
      </c>
      <c r="G60" s="44">
        <v>0.25900000000000001</v>
      </c>
      <c r="H60" s="42">
        <v>0.255</v>
      </c>
      <c r="I60" s="42">
        <v>0.25900000000000001</v>
      </c>
      <c r="J60" s="42">
        <v>0.251</v>
      </c>
      <c r="K60" s="42">
        <v>0.26</v>
      </c>
      <c r="L60" s="43"/>
      <c r="N60" s="64"/>
      <c r="O60" s="4" t="s">
        <v>22</v>
      </c>
      <c r="P60" s="4" t="s">
        <v>23</v>
      </c>
      <c r="Q60" s="41">
        <v>0.3</v>
      </c>
      <c r="R60" s="41">
        <v>0.311</v>
      </c>
      <c r="S60" s="41">
        <v>0.254</v>
      </c>
      <c r="T60" s="42">
        <v>0.24099999999999999</v>
      </c>
      <c r="U60" s="42">
        <v>0.23499999999999999</v>
      </c>
      <c r="V60" s="42">
        <v>0.23499999999999999</v>
      </c>
      <c r="W60" s="42">
        <v>0.24</v>
      </c>
      <c r="X60" s="43"/>
    </row>
    <row r="61" spans="2:32" ht="12.75">
      <c r="B61" s="64"/>
      <c r="C61" s="4"/>
      <c r="D61" s="4" t="s">
        <v>24</v>
      </c>
      <c r="E61" s="44">
        <v>0.378</v>
      </c>
      <c r="F61" s="44">
        <v>0.379</v>
      </c>
      <c r="G61" s="44">
        <v>0.40600000000000003</v>
      </c>
      <c r="H61" s="44">
        <v>0.40600000000000003</v>
      </c>
      <c r="I61" s="44">
        <v>0.40699999999999997</v>
      </c>
      <c r="J61" s="44">
        <v>0.40600000000000003</v>
      </c>
      <c r="K61" s="44">
        <v>0.39700000000000002</v>
      </c>
      <c r="L61" s="43"/>
      <c r="N61" s="64"/>
      <c r="O61" s="4"/>
      <c r="P61" s="4" t="s">
        <v>24</v>
      </c>
      <c r="Q61" s="41">
        <v>0.38</v>
      </c>
      <c r="R61" s="41">
        <v>0.378</v>
      </c>
      <c r="S61" s="41">
        <v>0.42799999999999999</v>
      </c>
      <c r="T61" s="44">
        <v>0.43099999999999999</v>
      </c>
      <c r="U61" s="44">
        <v>0.435</v>
      </c>
      <c r="V61" s="44">
        <v>0.42099999999999999</v>
      </c>
      <c r="W61" s="44">
        <v>0.41599999999999998</v>
      </c>
      <c r="X61" s="43"/>
    </row>
    <row r="62" spans="2:32" ht="12.75">
      <c r="B62" s="64"/>
      <c r="C62" s="20"/>
      <c r="D62" s="20" t="s">
        <v>25</v>
      </c>
      <c r="E62" s="45">
        <v>0.34300000000000003</v>
      </c>
      <c r="F62" s="45">
        <v>0.33900000000000002</v>
      </c>
      <c r="G62" s="45">
        <v>0.33400000000000002</v>
      </c>
      <c r="H62" s="44">
        <v>0.33400000000000002</v>
      </c>
      <c r="I62" s="44">
        <v>0.33400000000000002</v>
      </c>
      <c r="J62" s="44">
        <v>0.34200000000000003</v>
      </c>
      <c r="K62" s="44">
        <v>0.34300000000000003</v>
      </c>
      <c r="L62" s="43"/>
      <c r="N62" s="64"/>
      <c r="O62" s="20"/>
      <c r="P62" s="20" t="s">
        <v>25</v>
      </c>
      <c r="Q62" s="46">
        <v>0.32</v>
      </c>
      <c r="R62" s="46">
        <v>0.311</v>
      </c>
      <c r="S62" s="46">
        <v>0.31900000000000001</v>
      </c>
      <c r="T62" s="44">
        <v>0.33</v>
      </c>
      <c r="U62" s="44">
        <v>0.32</v>
      </c>
      <c r="V62" s="44">
        <v>0.34</v>
      </c>
      <c r="W62" s="44">
        <v>0.34</v>
      </c>
      <c r="X62" s="43"/>
    </row>
    <row r="63" spans="2:32" ht="12.75">
      <c r="B63" s="64"/>
      <c r="C63" s="4" t="s">
        <v>36</v>
      </c>
      <c r="D63" s="4" t="s">
        <v>37</v>
      </c>
      <c r="E63" s="8">
        <v>30.7</v>
      </c>
      <c r="F63" s="8">
        <v>30.5</v>
      </c>
      <c r="G63" s="4">
        <v>30.2</v>
      </c>
      <c r="H63" s="49">
        <v>30.1</v>
      </c>
      <c r="I63" s="49">
        <v>29.1</v>
      </c>
      <c r="J63" s="49">
        <v>30.4</v>
      </c>
      <c r="K63" s="49">
        <v>30.7</v>
      </c>
      <c r="L63" s="50"/>
      <c r="N63" s="64"/>
      <c r="O63" s="4" t="s">
        <v>36</v>
      </c>
      <c r="P63" s="4" t="s">
        <v>37</v>
      </c>
      <c r="Q63" s="22">
        <v>31</v>
      </c>
      <c r="R63" s="65">
        <v>30.4</v>
      </c>
      <c r="S63" s="65">
        <v>29.5</v>
      </c>
      <c r="T63" s="49">
        <v>29.5</v>
      </c>
      <c r="U63" s="49">
        <v>28.6</v>
      </c>
      <c r="V63" s="49">
        <v>29.8</v>
      </c>
      <c r="W63" s="49">
        <v>29.9</v>
      </c>
      <c r="X63" s="50"/>
    </row>
    <row r="64" spans="2:32" ht="12.75">
      <c r="B64" s="64"/>
      <c r="C64" s="4"/>
      <c r="D64" s="4" t="s">
        <v>28</v>
      </c>
      <c r="E64" s="44">
        <v>0.17699999999999999</v>
      </c>
      <c r="F64" s="44">
        <v>0.17299999999999999</v>
      </c>
      <c r="G64" s="44">
        <v>0.17</v>
      </c>
      <c r="H64" s="44">
        <v>0.16500000000000001</v>
      </c>
      <c r="I64" s="44">
        <v>0.156</v>
      </c>
      <c r="J64" s="44">
        <v>0.14799999999999999</v>
      </c>
      <c r="K64" s="44">
        <v>0.14099999999999999</v>
      </c>
      <c r="L64" s="43"/>
      <c r="N64" s="64"/>
      <c r="O64" s="4"/>
      <c r="P64" s="4" t="s">
        <v>28</v>
      </c>
      <c r="Q64" s="41">
        <v>0.18</v>
      </c>
      <c r="R64" s="41">
        <v>0.17599999999999999</v>
      </c>
      <c r="S64" s="41">
        <v>0.17499999999999999</v>
      </c>
      <c r="T64" s="44">
        <v>0.17100000000000001</v>
      </c>
      <c r="U64" s="44">
        <v>0.16600000000000001</v>
      </c>
      <c r="V64" s="44">
        <v>0.158</v>
      </c>
      <c r="W64" s="44">
        <v>0.153</v>
      </c>
      <c r="X64" s="43"/>
    </row>
    <row r="65" spans="2:32" ht="12.75">
      <c r="B65" s="64"/>
      <c r="C65" s="4"/>
      <c r="D65" s="4" t="s">
        <v>29</v>
      </c>
      <c r="E65" s="44">
        <v>0.54300000000000004</v>
      </c>
      <c r="F65" s="44">
        <v>0.54700000000000004</v>
      </c>
      <c r="G65" s="44">
        <v>0.623</v>
      </c>
      <c r="H65" s="44">
        <v>0.65900000000000003</v>
      </c>
      <c r="I65" s="44">
        <v>0.68500000000000005</v>
      </c>
      <c r="J65" s="44">
        <v>0.69</v>
      </c>
      <c r="K65" s="44">
        <v>0.65200000000000002</v>
      </c>
      <c r="L65" s="43"/>
      <c r="N65" s="64"/>
      <c r="O65" s="4"/>
      <c r="P65" s="4" t="s">
        <v>29</v>
      </c>
      <c r="Q65" s="41">
        <v>0.62</v>
      </c>
      <c r="R65" s="41">
        <v>0.61399999999999999</v>
      </c>
      <c r="S65" s="41">
        <v>0.69399999999999995</v>
      </c>
      <c r="T65" s="44">
        <v>0.72899999999999998</v>
      </c>
      <c r="U65" s="44">
        <v>0.74299999999999999</v>
      </c>
      <c r="V65" s="44">
        <v>0.745</v>
      </c>
      <c r="W65" s="44">
        <v>0.72099999999999997</v>
      </c>
      <c r="X65" s="43"/>
    </row>
    <row r="66" spans="2:32" ht="12.75">
      <c r="B66" s="64"/>
      <c r="C66" s="4"/>
      <c r="D66" s="4" t="s">
        <v>30</v>
      </c>
      <c r="E66" s="10">
        <v>1340</v>
      </c>
      <c r="F66" s="10">
        <v>1416</v>
      </c>
      <c r="G66" s="10">
        <f>2719*G65</f>
        <v>1693.9369999999999</v>
      </c>
      <c r="H66" s="10">
        <f>2741*H65</f>
        <v>1806.3190000000002</v>
      </c>
      <c r="I66" s="10">
        <f>3164*I65</f>
        <v>2167.34</v>
      </c>
      <c r="J66" s="10">
        <f>3562*J65</f>
        <v>2457.7799999999997</v>
      </c>
      <c r="K66" s="10">
        <f>3731*K65</f>
        <v>2432.6120000000001</v>
      </c>
      <c r="L66" s="51"/>
      <c r="N66" s="64"/>
      <c r="O66" s="4"/>
      <c r="P66" s="4" t="s">
        <v>30</v>
      </c>
      <c r="Q66" s="13">
        <v>1424</v>
      </c>
      <c r="R66" s="13">
        <v>1501.2299999999998</v>
      </c>
      <c r="S66" s="13">
        <f>2544*S65</f>
        <v>1765.5359999999998</v>
      </c>
      <c r="T66" s="10">
        <f>2743*T65</f>
        <v>1999.6469999999999</v>
      </c>
      <c r="U66" s="10">
        <f>3060*U65</f>
        <v>2273.58</v>
      </c>
      <c r="V66" s="10">
        <f>3958*V65</f>
        <v>2948.71</v>
      </c>
      <c r="W66" s="10">
        <f>3985*W65</f>
        <v>2873.1849999999999</v>
      </c>
      <c r="X66" s="51"/>
      <c r="AB66" s="11"/>
      <c r="AC66" s="11"/>
      <c r="AD66" s="11"/>
      <c r="AE66" s="11"/>
      <c r="AF66" s="11"/>
    </row>
    <row r="67" spans="2:32" ht="12.75">
      <c r="B67" s="64"/>
      <c r="C67" s="4"/>
      <c r="D67" s="4" t="s">
        <v>31</v>
      </c>
      <c r="E67" s="44">
        <v>0.79300000000000004</v>
      </c>
      <c r="F67" s="44">
        <v>0.79500000000000004</v>
      </c>
      <c r="G67" s="44">
        <v>0.82499999999999996</v>
      </c>
      <c r="H67" s="44">
        <v>0.82899999999999996</v>
      </c>
      <c r="I67" s="44">
        <v>0.84499999999999997</v>
      </c>
      <c r="J67" s="44">
        <v>0.84099999999999997</v>
      </c>
      <c r="K67" s="44">
        <v>0.81</v>
      </c>
      <c r="L67" s="43"/>
      <c r="N67" s="64"/>
      <c r="O67" s="4"/>
      <c r="P67" s="4" t="s">
        <v>31</v>
      </c>
      <c r="Q67" s="41">
        <v>0.82</v>
      </c>
      <c r="R67" s="41">
        <v>0.80800000000000005</v>
      </c>
      <c r="S67" s="41">
        <v>0.85399999999999998</v>
      </c>
      <c r="T67" s="44">
        <v>0.85799999999999998</v>
      </c>
      <c r="U67" s="44">
        <v>0.88</v>
      </c>
      <c r="V67" s="44">
        <v>0.87</v>
      </c>
      <c r="W67" s="44">
        <v>0.85199999999999998</v>
      </c>
      <c r="X67" s="43"/>
      <c r="AB67" s="11"/>
      <c r="AC67" s="11"/>
      <c r="AD67" s="11"/>
      <c r="AE67" s="11"/>
      <c r="AF67" s="11"/>
    </row>
    <row r="68" spans="2:32" ht="12.75">
      <c r="B68" s="64"/>
      <c r="C68" s="66"/>
      <c r="D68" s="20" t="s">
        <v>39</v>
      </c>
      <c r="E68" s="19">
        <v>15311</v>
      </c>
      <c r="F68" s="19">
        <v>15665</v>
      </c>
      <c r="G68" s="19">
        <v>17753</v>
      </c>
      <c r="H68" s="10">
        <v>18094</v>
      </c>
      <c r="I68" s="10">
        <v>19064</v>
      </c>
      <c r="J68" s="10">
        <v>19309</v>
      </c>
      <c r="K68" s="10">
        <v>19463</v>
      </c>
      <c r="L68" s="51"/>
      <c r="N68" s="64"/>
      <c r="O68" s="4"/>
      <c r="P68" s="20" t="s">
        <v>39</v>
      </c>
      <c r="Q68" s="39">
        <v>15613</v>
      </c>
      <c r="R68" s="39">
        <v>15541</v>
      </c>
      <c r="S68" s="39">
        <v>18156</v>
      </c>
      <c r="T68" s="10">
        <v>18698</v>
      </c>
      <c r="U68" s="10">
        <v>19796</v>
      </c>
      <c r="V68" s="10">
        <v>20178</v>
      </c>
      <c r="W68" s="10">
        <v>20766</v>
      </c>
      <c r="X68" s="51"/>
      <c r="AB68" s="11"/>
      <c r="AC68" s="11"/>
      <c r="AD68" s="11"/>
      <c r="AE68" s="11"/>
      <c r="AF68" s="11"/>
    </row>
    <row r="69" spans="2:32" ht="12.75">
      <c r="B69" s="64"/>
      <c r="C69" s="17" t="s">
        <v>40</v>
      </c>
      <c r="D69" s="4" t="s">
        <v>61</v>
      </c>
      <c r="E69" s="44">
        <v>0.77200000000000002</v>
      </c>
      <c r="F69" s="44">
        <v>0.77800000000000002</v>
      </c>
      <c r="G69" s="9">
        <v>0.73799999999999999</v>
      </c>
      <c r="H69" s="67">
        <v>0.72799999999999998</v>
      </c>
      <c r="I69" s="67">
        <v>0.71799999999999997</v>
      </c>
      <c r="J69" s="67">
        <v>0.72299999999999998</v>
      </c>
      <c r="K69" s="67">
        <v>0.72099999999999997</v>
      </c>
      <c r="L69" s="52"/>
      <c r="N69" s="64"/>
      <c r="O69" s="17" t="s">
        <v>40</v>
      </c>
      <c r="P69" s="4" t="s">
        <v>61</v>
      </c>
      <c r="Q69" s="41">
        <v>0.745</v>
      </c>
      <c r="R69" s="41">
        <v>0.75900000000000001</v>
      </c>
      <c r="S69" s="41">
        <v>0.69599999999999995</v>
      </c>
      <c r="T69" s="42">
        <v>0.68600000000000005</v>
      </c>
      <c r="U69" s="42">
        <v>0.67700000000000005</v>
      </c>
      <c r="V69" s="42">
        <v>0.69</v>
      </c>
      <c r="W69" s="42">
        <v>0.68600000000000005</v>
      </c>
      <c r="X69" s="52"/>
    </row>
    <row r="70" spans="2:32" ht="12.75">
      <c r="B70" s="64"/>
      <c r="C70" s="4"/>
      <c r="D70" s="4" t="s">
        <v>41</v>
      </c>
      <c r="E70" s="10">
        <v>558</v>
      </c>
      <c r="F70" s="10">
        <v>553</v>
      </c>
      <c r="G70" s="13">
        <v>727</v>
      </c>
      <c r="H70" s="13">
        <v>768</v>
      </c>
      <c r="I70" s="13">
        <v>822</v>
      </c>
      <c r="J70" s="13">
        <v>821</v>
      </c>
      <c r="K70" s="13">
        <v>862</v>
      </c>
      <c r="L70" s="52"/>
      <c r="N70" s="64"/>
      <c r="O70" s="4"/>
      <c r="P70" s="4" t="s">
        <v>41</v>
      </c>
      <c r="Q70" s="13">
        <v>654</v>
      </c>
      <c r="R70" s="13">
        <v>645</v>
      </c>
      <c r="S70" s="13">
        <v>890</v>
      </c>
      <c r="T70" s="13">
        <v>918</v>
      </c>
      <c r="U70" s="13">
        <v>966</v>
      </c>
      <c r="V70" s="13">
        <v>938</v>
      </c>
      <c r="W70" s="13">
        <v>992</v>
      </c>
      <c r="X70" s="52"/>
    </row>
    <row r="71" spans="2:32" ht="12.75">
      <c r="B71" s="64"/>
      <c r="C71" s="4"/>
      <c r="D71" s="4" t="s">
        <v>42</v>
      </c>
      <c r="E71" s="19">
        <v>2284</v>
      </c>
      <c r="F71" s="19">
        <v>2286</v>
      </c>
      <c r="G71" s="39">
        <v>2494</v>
      </c>
      <c r="H71" s="39">
        <v>2540</v>
      </c>
      <c r="I71" s="39">
        <v>2608</v>
      </c>
      <c r="J71" s="39">
        <v>2618</v>
      </c>
      <c r="K71" s="39">
        <v>2686</v>
      </c>
      <c r="L71" s="50"/>
      <c r="N71" s="64"/>
      <c r="O71" s="4"/>
      <c r="P71" s="4" t="s">
        <v>42</v>
      </c>
      <c r="Q71" s="39">
        <v>2392</v>
      </c>
      <c r="R71" s="39">
        <v>2405</v>
      </c>
      <c r="S71" s="39">
        <v>2677</v>
      </c>
      <c r="T71" s="39">
        <v>2703</v>
      </c>
      <c r="U71" s="39">
        <v>2760</v>
      </c>
      <c r="V71" s="39">
        <v>2751</v>
      </c>
      <c r="W71" s="39">
        <v>2832</v>
      </c>
      <c r="X71" s="50"/>
    </row>
    <row r="72" spans="2:32" ht="12.75">
      <c r="B72" s="64"/>
      <c r="C72" s="17" t="s">
        <v>33</v>
      </c>
      <c r="D72" s="17" t="s">
        <v>34</v>
      </c>
      <c r="E72" s="4">
        <v>2.2999999999999998</v>
      </c>
      <c r="F72" s="4">
        <v>2.2999999999999998</v>
      </c>
      <c r="G72" s="14">
        <v>2.2999999999999998</v>
      </c>
      <c r="H72" s="14">
        <v>2.2000000000000002</v>
      </c>
      <c r="I72" s="14">
        <v>2.2999999999999998</v>
      </c>
      <c r="J72" s="14">
        <v>2.2999999999999998</v>
      </c>
      <c r="K72" s="14">
        <v>2.2000000000000002</v>
      </c>
      <c r="L72" s="43"/>
      <c r="N72" s="64"/>
      <c r="O72" s="17" t="s">
        <v>33</v>
      </c>
      <c r="P72" s="17" t="s">
        <v>34</v>
      </c>
      <c r="Q72" s="14">
        <v>2.2000000000000002</v>
      </c>
      <c r="R72" s="14">
        <v>2.2000000000000002</v>
      </c>
      <c r="S72" s="14">
        <v>2.1</v>
      </c>
      <c r="T72" s="14">
        <v>2.1</v>
      </c>
      <c r="U72" s="14">
        <v>2.1</v>
      </c>
      <c r="V72" s="14">
        <v>2.2000000000000002</v>
      </c>
      <c r="W72" s="14">
        <v>2.2000000000000002</v>
      </c>
      <c r="X72" s="43"/>
    </row>
    <row r="73" spans="2:32" ht="12.75">
      <c r="B73" s="64"/>
      <c r="C73" s="4"/>
      <c r="D73" s="4" t="s">
        <v>35</v>
      </c>
      <c r="E73" s="4">
        <v>1.1000000000000001</v>
      </c>
      <c r="F73" s="4">
        <v>1.1000000000000001</v>
      </c>
      <c r="G73" s="14">
        <v>1.1000000000000001</v>
      </c>
      <c r="H73" s="14">
        <v>1.1000000000000001</v>
      </c>
      <c r="I73" s="14">
        <v>1.1000000000000001</v>
      </c>
      <c r="J73" s="14">
        <v>1.1000000000000001</v>
      </c>
      <c r="K73" s="14">
        <v>1.1000000000000001</v>
      </c>
      <c r="L73" s="51"/>
      <c r="N73" s="64"/>
      <c r="O73" s="4"/>
      <c r="P73" s="4" t="s">
        <v>35</v>
      </c>
      <c r="Q73" s="14">
        <v>1.1000000000000001</v>
      </c>
      <c r="R73" s="14">
        <v>1.1000000000000001</v>
      </c>
      <c r="S73" s="14">
        <v>1.1000000000000001</v>
      </c>
      <c r="T73" s="14">
        <v>1.1000000000000001</v>
      </c>
      <c r="U73" s="14">
        <v>1.1000000000000001</v>
      </c>
      <c r="V73" s="14">
        <v>1.1000000000000001</v>
      </c>
      <c r="W73" s="14">
        <v>1.1000000000000001</v>
      </c>
      <c r="X73" s="51"/>
    </row>
    <row r="74" spans="2:32" ht="13.5" thickBot="1">
      <c r="B74" s="54"/>
      <c r="C74" s="55"/>
      <c r="D74" s="55"/>
      <c r="E74" s="55"/>
      <c r="F74" s="56"/>
      <c r="G74" s="56"/>
      <c r="H74" s="56"/>
      <c r="I74" s="56"/>
      <c r="J74" s="55"/>
      <c r="K74" s="68"/>
      <c r="L74" s="69"/>
      <c r="N74" s="54"/>
      <c r="O74" s="55"/>
      <c r="P74" s="55"/>
      <c r="Q74" s="56" t="s">
        <v>45</v>
      </c>
      <c r="R74" s="56"/>
      <c r="S74" s="56"/>
      <c r="T74" s="56"/>
      <c r="U74" s="57"/>
      <c r="V74" s="55"/>
      <c r="W74" s="68"/>
      <c r="X74" s="69"/>
    </row>
    <row r="75" spans="2:32" ht="12" thickTop="1"/>
    <row r="77" spans="2:32" ht="18.75">
      <c r="B77" s="1" t="s">
        <v>58</v>
      </c>
      <c r="E77" s="1" t="s">
        <v>0</v>
      </c>
      <c r="F77" s="3"/>
      <c r="N77" s="1" t="s">
        <v>59</v>
      </c>
      <c r="R77" s="1"/>
    </row>
    <row r="78" spans="2:32" ht="18.75">
      <c r="B78" s="1" t="s">
        <v>46</v>
      </c>
      <c r="D78" s="24"/>
      <c r="E78" s="1"/>
      <c r="F78" s="1"/>
      <c r="G78" s="1"/>
      <c r="H78" s="1"/>
      <c r="I78" s="1"/>
      <c r="J78" s="25"/>
      <c r="N78" s="1" t="s">
        <v>47</v>
      </c>
      <c r="P78" s="24"/>
      <c r="Q78" s="1"/>
      <c r="R78" s="1"/>
      <c r="S78" s="1"/>
      <c r="T78" s="1"/>
      <c r="U78" s="1"/>
      <c r="V78" s="25"/>
    </row>
    <row r="79" spans="2:32" ht="18.75">
      <c r="B79" s="1" t="s">
        <v>54</v>
      </c>
      <c r="D79" s="1"/>
      <c r="E79" s="1"/>
      <c r="F79" s="1"/>
      <c r="G79" s="1"/>
      <c r="H79" s="1"/>
      <c r="I79" s="1"/>
      <c r="J79" s="25"/>
      <c r="N79" s="1" t="s">
        <v>54</v>
      </c>
      <c r="P79" s="1"/>
      <c r="Q79" s="1"/>
      <c r="R79" s="1"/>
      <c r="S79" s="1"/>
      <c r="T79" s="1"/>
      <c r="U79" s="1"/>
      <c r="V79" s="25"/>
    </row>
    <row r="80" spans="2:32" ht="19.5" thickBot="1">
      <c r="B80" s="1"/>
      <c r="D80" s="1"/>
      <c r="E80" s="1"/>
      <c r="F80" s="1"/>
      <c r="G80" s="1"/>
      <c r="H80" s="1"/>
      <c r="I80" s="1"/>
      <c r="J80" s="25"/>
      <c r="N80" s="1"/>
      <c r="P80" s="1"/>
      <c r="Q80" s="1"/>
      <c r="R80" s="26"/>
      <c r="S80" s="1"/>
      <c r="T80" s="1"/>
      <c r="U80" s="1"/>
      <c r="V80" s="25"/>
    </row>
    <row r="81" spans="2:32" ht="13.5" thickTop="1">
      <c r="B81" s="59"/>
      <c r="C81" s="28"/>
      <c r="D81" s="28"/>
      <c r="E81" s="29" t="s">
        <v>1</v>
      </c>
      <c r="F81" s="29" t="s">
        <v>2</v>
      </c>
      <c r="G81" s="29" t="s">
        <v>3</v>
      </c>
      <c r="H81" s="29" t="s">
        <v>4</v>
      </c>
      <c r="I81" s="29" t="s">
        <v>5</v>
      </c>
      <c r="J81" s="29" t="s">
        <v>6</v>
      </c>
      <c r="K81" s="29" t="s">
        <v>55</v>
      </c>
      <c r="L81" s="30"/>
      <c r="N81" s="59"/>
      <c r="O81" s="28"/>
      <c r="P81" s="28"/>
      <c r="Q81" s="29" t="s">
        <v>1</v>
      </c>
      <c r="R81" s="29" t="s">
        <v>2</v>
      </c>
      <c r="S81" s="29" t="s">
        <v>3</v>
      </c>
      <c r="T81" s="29" t="s">
        <v>4</v>
      </c>
      <c r="U81" s="29" t="s">
        <v>5</v>
      </c>
      <c r="V81" s="29" t="s">
        <v>6</v>
      </c>
      <c r="W81" s="29" t="s">
        <v>55</v>
      </c>
      <c r="X81" s="30"/>
    </row>
    <row r="82" spans="2:32" ht="12.75">
      <c r="B82" s="60"/>
      <c r="C82" s="6"/>
      <c r="D82" s="6"/>
      <c r="E82" s="7"/>
      <c r="F82" s="7"/>
      <c r="G82" s="7"/>
      <c r="H82" s="7"/>
      <c r="I82" s="7"/>
      <c r="J82" s="7"/>
      <c r="K82" s="7"/>
      <c r="L82" s="32"/>
      <c r="N82" s="60"/>
      <c r="O82" s="6"/>
      <c r="P82" s="6"/>
      <c r="Q82" s="7"/>
      <c r="R82" s="7"/>
      <c r="S82" s="7"/>
      <c r="T82" s="7"/>
      <c r="U82" s="7"/>
      <c r="V82" s="7"/>
      <c r="W82" s="7"/>
      <c r="X82" s="32"/>
    </row>
    <row r="83" spans="2:32" ht="12.75">
      <c r="B83" s="61"/>
      <c r="C83" s="20" t="s">
        <v>14</v>
      </c>
      <c r="D83" s="20"/>
      <c r="E83" s="33">
        <v>367832</v>
      </c>
      <c r="F83" s="33">
        <v>347613</v>
      </c>
      <c r="G83" s="33">
        <v>286712</v>
      </c>
      <c r="H83" s="33">
        <v>267383</v>
      </c>
      <c r="I83" s="33">
        <v>248141</v>
      </c>
      <c r="J83" s="33">
        <v>238939</v>
      </c>
      <c r="K83" s="33">
        <v>234290</v>
      </c>
      <c r="L83" s="70"/>
      <c r="N83" s="61"/>
      <c r="O83" s="20" t="s">
        <v>15</v>
      </c>
      <c r="P83" s="20"/>
      <c r="Q83" s="33">
        <v>136563</v>
      </c>
      <c r="R83" s="33">
        <v>128399</v>
      </c>
      <c r="S83" s="18">
        <v>128865</v>
      </c>
      <c r="T83" s="33">
        <v>138921</v>
      </c>
      <c r="U83" s="33">
        <v>139917</v>
      </c>
      <c r="V83" s="33">
        <v>145626</v>
      </c>
      <c r="W83" s="33">
        <v>146753</v>
      </c>
      <c r="X83" s="70"/>
    </row>
    <row r="84" spans="2:32" ht="12.75">
      <c r="B84" s="63"/>
      <c r="C84" s="4" t="s">
        <v>16</v>
      </c>
      <c r="D84" s="4" t="s">
        <v>10</v>
      </c>
      <c r="E84" s="13">
        <v>2851</v>
      </c>
      <c r="F84" s="13">
        <v>2865</v>
      </c>
      <c r="G84" s="13">
        <v>3258</v>
      </c>
      <c r="H84" s="13">
        <v>3526</v>
      </c>
      <c r="I84" s="13">
        <v>3603</v>
      </c>
      <c r="J84" s="13">
        <v>3857</v>
      </c>
      <c r="K84" s="13">
        <v>4914</v>
      </c>
      <c r="L84" s="36"/>
      <c r="N84" s="63"/>
      <c r="O84" s="4" t="s">
        <v>17</v>
      </c>
      <c r="P84" s="4" t="s">
        <v>10</v>
      </c>
      <c r="Q84" s="13">
        <v>2725</v>
      </c>
      <c r="R84" s="13">
        <v>2782</v>
      </c>
      <c r="S84" s="37">
        <v>3044</v>
      </c>
      <c r="T84" s="13">
        <v>3188</v>
      </c>
      <c r="U84" s="13">
        <v>3149</v>
      </c>
      <c r="V84" s="13">
        <v>3212</v>
      </c>
      <c r="W84" s="13">
        <v>4060</v>
      </c>
      <c r="X84" s="36"/>
      <c r="AB84" s="11"/>
      <c r="AC84" s="11"/>
      <c r="AD84" s="11"/>
      <c r="AE84" s="11"/>
      <c r="AF84" s="11"/>
    </row>
    <row r="85" spans="2:32" ht="12.75">
      <c r="B85" s="63"/>
      <c r="C85" s="4"/>
      <c r="D85" s="4" t="s">
        <v>7</v>
      </c>
      <c r="E85" s="13">
        <v>4162</v>
      </c>
      <c r="F85" s="13">
        <v>4223</v>
      </c>
      <c r="G85" s="13">
        <v>4746</v>
      </c>
      <c r="H85" s="13">
        <v>5187</v>
      </c>
      <c r="I85" s="13">
        <v>5183</v>
      </c>
      <c r="J85" s="13">
        <v>5480</v>
      </c>
      <c r="K85" s="13">
        <v>7035</v>
      </c>
      <c r="L85" s="36"/>
      <c r="N85" s="63"/>
      <c r="O85" s="4"/>
      <c r="P85" s="4" t="s">
        <v>7</v>
      </c>
      <c r="Q85" s="13">
        <v>3529</v>
      </c>
      <c r="R85" s="13">
        <v>3550</v>
      </c>
      <c r="S85" s="12">
        <v>3965</v>
      </c>
      <c r="T85" s="13">
        <v>4338</v>
      </c>
      <c r="U85" s="13">
        <v>4300</v>
      </c>
      <c r="V85" s="13">
        <v>4454</v>
      </c>
      <c r="W85" s="13">
        <v>5764</v>
      </c>
      <c r="X85" s="36"/>
    </row>
    <row r="86" spans="2:32" ht="12.75">
      <c r="B86" s="63"/>
      <c r="C86" s="4"/>
      <c r="D86" s="4" t="s">
        <v>8</v>
      </c>
      <c r="E86" s="13">
        <v>1636</v>
      </c>
      <c r="F86" s="13">
        <v>1568</v>
      </c>
      <c r="G86" s="13">
        <v>1720</v>
      </c>
      <c r="H86" s="13">
        <v>1759</v>
      </c>
      <c r="I86" s="13">
        <v>1753</v>
      </c>
      <c r="J86" s="13">
        <v>1947</v>
      </c>
      <c r="K86" s="13">
        <v>2650</v>
      </c>
      <c r="L86" s="36"/>
      <c r="N86" s="63"/>
      <c r="O86" s="4"/>
      <c r="P86" s="4" t="s">
        <v>8</v>
      </c>
      <c r="Q86" s="13">
        <v>941</v>
      </c>
      <c r="R86" s="13">
        <v>944</v>
      </c>
      <c r="S86" s="12">
        <v>1029</v>
      </c>
      <c r="T86" s="13">
        <v>1033</v>
      </c>
      <c r="U86" s="13">
        <v>1010</v>
      </c>
      <c r="V86" s="13">
        <v>1023</v>
      </c>
      <c r="W86" s="13">
        <v>1456</v>
      </c>
      <c r="X86" s="36"/>
    </row>
    <row r="87" spans="2:32" ht="12.75">
      <c r="B87" s="63"/>
      <c r="C87" s="4"/>
      <c r="D87" s="4" t="s">
        <v>60</v>
      </c>
      <c r="E87" s="13">
        <v>4614</v>
      </c>
      <c r="F87" s="13">
        <v>4679</v>
      </c>
      <c r="G87" s="13">
        <v>4859</v>
      </c>
      <c r="H87" s="13">
        <v>5326</v>
      </c>
      <c r="I87" s="13">
        <v>5318</v>
      </c>
      <c r="J87" s="13">
        <v>5626</v>
      </c>
      <c r="K87" s="13">
        <v>7175</v>
      </c>
      <c r="L87" s="36"/>
      <c r="N87" s="63"/>
      <c r="O87" s="4"/>
      <c r="P87" s="4" t="s">
        <v>60</v>
      </c>
      <c r="Q87" s="13">
        <v>3938</v>
      </c>
      <c r="R87" s="13">
        <v>3941</v>
      </c>
      <c r="S87" s="12">
        <v>4136</v>
      </c>
      <c r="T87" s="13">
        <v>4491</v>
      </c>
      <c r="U87" s="13">
        <v>4444</v>
      </c>
      <c r="V87" s="13">
        <v>4624</v>
      </c>
      <c r="W87" s="13">
        <v>5929</v>
      </c>
      <c r="X87" s="36"/>
    </row>
    <row r="88" spans="2:32" ht="12.75">
      <c r="B88" s="61"/>
      <c r="C88" s="38"/>
      <c r="D88" s="38" t="s">
        <v>9</v>
      </c>
      <c r="E88" s="39">
        <v>4594</v>
      </c>
      <c r="F88" s="39">
        <v>4642</v>
      </c>
      <c r="G88" s="39">
        <v>4815</v>
      </c>
      <c r="H88" s="39">
        <v>5262</v>
      </c>
      <c r="I88" s="39">
        <v>5241</v>
      </c>
      <c r="J88" s="39">
        <v>5540</v>
      </c>
      <c r="K88" s="39">
        <v>7115</v>
      </c>
      <c r="L88" s="36"/>
      <c r="N88" s="61"/>
      <c r="O88" s="38"/>
      <c r="P88" s="12" t="s">
        <v>9</v>
      </c>
      <c r="Q88" s="19">
        <v>2825</v>
      </c>
      <c r="R88" s="19">
        <v>2800</v>
      </c>
      <c r="S88" s="12">
        <v>2875</v>
      </c>
      <c r="T88" s="39">
        <v>3211</v>
      </c>
      <c r="U88" s="39">
        <v>3179</v>
      </c>
      <c r="V88" s="39">
        <v>3251</v>
      </c>
      <c r="W88" s="39">
        <v>4125</v>
      </c>
      <c r="X88" s="36"/>
      <c r="AB88" s="11"/>
      <c r="AE88" s="11"/>
    </row>
    <row r="89" spans="2:32" ht="12.75">
      <c r="B89" s="64"/>
      <c r="C89" s="4" t="s">
        <v>18</v>
      </c>
      <c r="D89" s="4" t="s">
        <v>7</v>
      </c>
      <c r="E89" s="41">
        <v>0.20699999999999999</v>
      </c>
      <c r="F89" s="41">
        <f>74463/F83</f>
        <v>0.21421235684511225</v>
      </c>
      <c r="G89" s="41">
        <f>74380/G83</f>
        <v>0.25942409107396969</v>
      </c>
      <c r="H89" s="41">
        <f>70680/H83</f>
        <v>0.26433991689823211</v>
      </c>
      <c r="I89" s="41">
        <f>69007/I83</f>
        <v>0.27809592127056793</v>
      </c>
      <c r="J89" s="41">
        <f>67201/J83</f>
        <v>0.28124751505614404</v>
      </c>
      <c r="K89" s="41">
        <v>0.28000000000000003</v>
      </c>
      <c r="L89" s="71"/>
      <c r="N89" s="64"/>
      <c r="O89" s="4" t="s">
        <v>18</v>
      </c>
      <c r="P89" s="4" t="s">
        <v>7</v>
      </c>
      <c r="Q89" s="41">
        <v>0.32700000000000001</v>
      </c>
      <c r="R89" s="41">
        <f>43167/R83</f>
        <v>0.33619420711999315</v>
      </c>
      <c r="S89" s="72">
        <f>47335/S83</f>
        <v>0.36732239165017655</v>
      </c>
      <c r="T89" s="41">
        <f>48433/T83</f>
        <v>0.34863699512672669</v>
      </c>
      <c r="U89" s="41">
        <f>49114/U83</f>
        <v>0.35102239184659478</v>
      </c>
      <c r="V89" s="41">
        <f>50310/V83</f>
        <v>0.34547402249598286</v>
      </c>
      <c r="W89" s="41">
        <f>48791/W83</f>
        <v>0.33247020503839786</v>
      </c>
      <c r="X89" s="71"/>
      <c r="AB89" s="11"/>
      <c r="AC89" s="11"/>
      <c r="AD89" s="11"/>
      <c r="AE89" s="11"/>
      <c r="AF89" s="11"/>
    </row>
    <row r="90" spans="2:32" ht="12.75">
      <c r="B90" s="64"/>
      <c r="C90" s="4"/>
      <c r="D90" s="4" t="s">
        <v>8</v>
      </c>
      <c r="E90" s="41">
        <v>0.56000000000000005</v>
      </c>
      <c r="F90" s="41">
        <f>191530/F83</f>
        <v>0.55098629798080045</v>
      </c>
      <c r="G90" s="41">
        <f>143250/G83</f>
        <v>0.49963029102374507</v>
      </c>
      <c r="H90" s="41">
        <f>132084/H83</f>
        <v>0.49398802466873359</v>
      </c>
      <c r="I90" s="41">
        <f>116622/I83</f>
        <v>0.46998279204162152</v>
      </c>
      <c r="J90" s="41">
        <f>112066/J83</f>
        <v>0.46901510427347565</v>
      </c>
      <c r="K90" s="41">
        <f>114975/K83</f>
        <v>0.49073797430534805</v>
      </c>
      <c r="L90" s="71"/>
      <c r="N90" s="64"/>
      <c r="O90" s="4"/>
      <c r="P90" s="4" t="s">
        <v>8</v>
      </c>
      <c r="Q90" s="41">
        <v>0.34399999999999997</v>
      </c>
      <c r="R90" s="41">
        <f>42121/R83</f>
        <v>0.3280477262283974</v>
      </c>
      <c r="S90" s="41">
        <f>41110/S83</f>
        <v>0.31901602452178635</v>
      </c>
      <c r="T90" s="41">
        <f>48956/T83</f>
        <v>0.35240172472124442</v>
      </c>
      <c r="U90" s="41">
        <f>49272/U83</f>
        <v>0.35215163275370398</v>
      </c>
      <c r="V90" s="41">
        <f>53079/V83</f>
        <v>0.36448848419925012</v>
      </c>
      <c r="W90" s="41">
        <f>57738/W83</f>
        <v>0.3934365907340906</v>
      </c>
      <c r="X90" s="71"/>
      <c r="AB90" s="11"/>
      <c r="AC90" s="11"/>
      <c r="AD90" s="11"/>
      <c r="AE90" s="11"/>
      <c r="AF90" s="11"/>
    </row>
    <row r="91" spans="2:32" ht="12.75">
      <c r="B91" s="64"/>
      <c r="C91" s="4"/>
      <c r="D91" s="4" t="s">
        <v>60</v>
      </c>
      <c r="E91" s="41">
        <v>0.17799999999999999</v>
      </c>
      <c r="F91" s="41">
        <f>63384/F83</f>
        <v>0.18234070647530443</v>
      </c>
      <c r="G91" s="41">
        <f>57555/G83</f>
        <v>0.20074151064482826</v>
      </c>
      <c r="H91" s="41">
        <f>56879/H83</f>
        <v>0.21272481795776096</v>
      </c>
      <c r="I91" s="41">
        <f>54709/I83</f>
        <v>0.22047545548700134</v>
      </c>
      <c r="J91" s="41">
        <f>51763/J83</f>
        <v>0.21663688221680011</v>
      </c>
      <c r="K91" s="41">
        <f>47254/K83</f>
        <v>0.20169021298390882</v>
      </c>
      <c r="L91" s="71"/>
      <c r="N91" s="64"/>
      <c r="O91" s="4"/>
      <c r="P91" s="4" t="s">
        <v>60</v>
      </c>
      <c r="Q91" s="41">
        <v>0.28299999999999997</v>
      </c>
      <c r="R91" s="41">
        <f>37614/R83</f>
        <v>0.29294620674615846</v>
      </c>
      <c r="S91" s="41">
        <f>36047/S83</f>
        <v>0.27972684592402902</v>
      </c>
      <c r="T91" s="41">
        <f>38150/T83</f>
        <v>0.27461650866319709</v>
      </c>
      <c r="U91" s="41">
        <f>37655/U83</f>
        <v>0.26912383770378151</v>
      </c>
      <c r="V91" s="41">
        <f>37888/V83</f>
        <v>0.26017332069822696</v>
      </c>
      <c r="W91" s="41">
        <v>0.25</v>
      </c>
      <c r="X91" s="71"/>
      <c r="AB91" s="11"/>
      <c r="AC91" s="11"/>
      <c r="AD91" s="11"/>
      <c r="AE91" s="11"/>
      <c r="AF91" s="11"/>
    </row>
    <row r="92" spans="2:32" ht="12.75">
      <c r="B92" s="64"/>
      <c r="C92" s="20"/>
      <c r="D92" s="20" t="s">
        <v>9</v>
      </c>
      <c r="E92" s="46">
        <v>0.05</v>
      </c>
      <c r="F92" s="46">
        <f>16168/F83</f>
        <v>4.6511494104075513E-2</v>
      </c>
      <c r="G92" s="46">
        <f>8933/G83</f>
        <v>3.1156700800803593E-2</v>
      </c>
      <c r="H92" s="46">
        <f>7740/H83</f>
        <v>2.8947240475273295E-2</v>
      </c>
      <c r="I92" s="46">
        <f>7844/I83</f>
        <v>3.1611059840977507E-2</v>
      </c>
      <c r="J92" s="46">
        <f>7909/J83</f>
        <v>3.31004984535802E-2</v>
      </c>
      <c r="K92" s="46">
        <f>7653/K83</f>
        <v>3.2664646378419905E-2</v>
      </c>
      <c r="L92" s="71"/>
      <c r="N92" s="64"/>
      <c r="O92" s="20"/>
      <c r="P92" s="20" t="s">
        <v>9</v>
      </c>
      <c r="Q92" s="47">
        <v>0.04</v>
      </c>
      <c r="R92" s="47">
        <f>4455/R83</f>
        <v>3.4696531904454084E-2</v>
      </c>
      <c r="S92" s="47">
        <f>3090/S83</f>
        <v>2.3978582237225002E-2</v>
      </c>
      <c r="T92" s="46">
        <f>3382/T83</f>
        <v>2.4344771488831782E-2</v>
      </c>
      <c r="U92" s="46">
        <f>3876/U83</f>
        <v>2.7702137695919723E-2</v>
      </c>
      <c r="V92" s="46">
        <f>4349/V83</f>
        <v>2.9864172606540042E-2</v>
      </c>
      <c r="W92" s="46">
        <f>4378/W83</f>
        <v>2.9832439541270024E-2</v>
      </c>
      <c r="X92" s="71"/>
      <c r="AB92" s="11"/>
      <c r="AE92" s="11"/>
      <c r="AF92" s="11"/>
    </row>
    <row r="93" spans="2:32" ht="12.75">
      <c r="B93" s="64"/>
      <c r="C93" s="4" t="s">
        <v>19</v>
      </c>
      <c r="D93" s="4" t="s">
        <v>11</v>
      </c>
      <c r="E93" s="41">
        <v>0.49299999999999999</v>
      </c>
      <c r="F93" s="41">
        <v>0.48399999999999999</v>
      </c>
      <c r="G93" s="41">
        <v>0.45600000000000002</v>
      </c>
      <c r="H93" s="41">
        <v>0.45600000000000002</v>
      </c>
      <c r="I93" s="41">
        <v>0.44600000000000001</v>
      </c>
      <c r="J93" s="41">
        <v>0.45300000000000001</v>
      </c>
      <c r="K93" s="41">
        <v>0.47499999999999998</v>
      </c>
      <c r="L93" s="71"/>
      <c r="N93" s="64"/>
      <c r="O93" s="4" t="s">
        <v>19</v>
      </c>
      <c r="P93" s="4" t="s">
        <v>11</v>
      </c>
      <c r="Q93" s="41">
        <v>0.35</v>
      </c>
      <c r="R93" s="41">
        <v>0.34399999999999997</v>
      </c>
      <c r="S93" s="41">
        <v>0.33900000000000002</v>
      </c>
      <c r="T93" s="41">
        <v>0.35199999999999998</v>
      </c>
      <c r="U93" s="41">
        <v>0.34200000000000003</v>
      </c>
      <c r="V93" s="41">
        <v>0.35899999999999999</v>
      </c>
      <c r="W93" s="41">
        <v>0.38600000000000001</v>
      </c>
      <c r="X93" s="71"/>
    </row>
    <row r="94" spans="2:32" ht="12.75">
      <c r="B94" s="64"/>
      <c r="C94" s="4"/>
      <c r="D94" s="4" t="s">
        <v>20</v>
      </c>
      <c r="E94" s="41">
        <v>0.22</v>
      </c>
      <c r="F94" s="41">
        <v>0.223</v>
      </c>
      <c r="G94" s="41">
        <v>0.219</v>
      </c>
      <c r="H94" s="41">
        <v>0.216</v>
      </c>
      <c r="I94" s="41">
        <v>0.22</v>
      </c>
      <c r="J94" s="41">
        <v>0.21</v>
      </c>
      <c r="K94" s="41">
        <v>0.20499999999999999</v>
      </c>
      <c r="L94" s="71"/>
      <c r="N94" s="64"/>
      <c r="O94" s="4"/>
      <c r="P94" s="4" t="s">
        <v>20</v>
      </c>
      <c r="Q94" s="41">
        <v>0.25</v>
      </c>
      <c r="R94" s="41">
        <v>0.247</v>
      </c>
      <c r="S94" s="41">
        <v>0.24199999999999999</v>
      </c>
      <c r="T94" s="41">
        <v>0.23899999999999999</v>
      </c>
      <c r="U94" s="41">
        <v>0.246</v>
      </c>
      <c r="V94" s="41">
        <v>0.23200000000000001</v>
      </c>
      <c r="W94" s="41">
        <v>0.22800000000000001</v>
      </c>
      <c r="X94" s="71"/>
    </row>
    <row r="95" spans="2:32" ht="12.75">
      <c r="B95" s="61"/>
      <c r="C95" s="38"/>
      <c r="D95" s="38" t="s">
        <v>21</v>
      </c>
      <c r="E95" s="48">
        <v>0.28499999999999998</v>
      </c>
      <c r="F95" s="48">
        <v>0.29299999999999998</v>
      </c>
      <c r="G95" s="48">
        <f>1-G94-G93</f>
        <v>0.32500000000000001</v>
      </c>
      <c r="H95" s="48">
        <v>0.32</v>
      </c>
      <c r="I95" s="48">
        <v>0.33</v>
      </c>
      <c r="J95" s="48">
        <v>0.34</v>
      </c>
      <c r="K95" s="48">
        <v>0.31</v>
      </c>
      <c r="L95" s="71"/>
      <c r="N95" s="61"/>
      <c r="O95" s="38"/>
      <c r="P95" s="38" t="s">
        <v>21</v>
      </c>
      <c r="Q95" s="46">
        <v>0.4</v>
      </c>
      <c r="R95" s="46">
        <v>0.41</v>
      </c>
      <c r="S95" s="46">
        <f>1-S94-S93</f>
        <v>0.41899999999999998</v>
      </c>
      <c r="T95" s="48">
        <f>1-T94-T93</f>
        <v>0.40900000000000003</v>
      </c>
      <c r="U95" s="48">
        <f>1-U94-U93</f>
        <v>0.41199999999999998</v>
      </c>
      <c r="V95" s="48">
        <f>1-V94-V93</f>
        <v>0.40900000000000003</v>
      </c>
      <c r="W95" s="48">
        <v>0.38</v>
      </c>
      <c r="X95" s="71"/>
    </row>
    <row r="96" spans="2:32" ht="12.75">
      <c r="B96" s="64"/>
      <c r="C96" s="4" t="s">
        <v>22</v>
      </c>
      <c r="D96" s="4" t="s">
        <v>23</v>
      </c>
      <c r="E96" s="41">
        <v>0.28000000000000003</v>
      </c>
      <c r="F96" s="41">
        <v>0.28199999999999997</v>
      </c>
      <c r="G96" s="41">
        <v>0.26900000000000002</v>
      </c>
      <c r="H96" s="41">
        <v>0.27</v>
      </c>
      <c r="I96" s="41">
        <v>0.27700000000000002</v>
      </c>
      <c r="J96" s="41">
        <v>0.27400000000000002</v>
      </c>
      <c r="K96" s="41">
        <v>0.28100000000000003</v>
      </c>
      <c r="L96" s="71"/>
      <c r="N96" s="64"/>
      <c r="O96" s="4" t="s">
        <v>22</v>
      </c>
      <c r="P96" s="4" t="s">
        <v>23</v>
      </c>
      <c r="Q96" s="41">
        <v>0.3</v>
      </c>
      <c r="R96" s="41">
        <v>0.29899999999999999</v>
      </c>
      <c r="S96" s="41">
        <v>0.27</v>
      </c>
      <c r="T96" s="41">
        <v>0.27</v>
      </c>
      <c r="U96" s="41">
        <v>0.26700000000000002</v>
      </c>
      <c r="V96" s="41">
        <v>0.26600000000000001</v>
      </c>
      <c r="W96" s="41">
        <v>0.27200000000000002</v>
      </c>
      <c r="X96" s="71"/>
    </row>
    <row r="97" spans="2:32" ht="12.75">
      <c r="B97" s="64"/>
      <c r="C97" s="4"/>
      <c r="D97" s="4" t="s">
        <v>24</v>
      </c>
      <c r="E97" s="41">
        <v>0.41899999999999998</v>
      </c>
      <c r="F97" s="41">
        <v>0.42299999999999999</v>
      </c>
      <c r="G97" s="41">
        <v>0.44700000000000001</v>
      </c>
      <c r="H97" s="41">
        <v>0.45</v>
      </c>
      <c r="I97" s="41">
        <v>0.44900000000000001</v>
      </c>
      <c r="J97" s="41">
        <v>0.45100000000000001</v>
      </c>
      <c r="K97" s="41">
        <v>0.44400000000000001</v>
      </c>
      <c r="L97" s="71"/>
      <c r="N97" s="64"/>
      <c r="O97" s="4"/>
      <c r="P97" s="4" t="s">
        <v>24</v>
      </c>
      <c r="Q97" s="41">
        <v>0.45</v>
      </c>
      <c r="R97" s="41">
        <v>0.44500000000000001</v>
      </c>
      <c r="S97" s="41">
        <v>0.47599999999999998</v>
      </c>
      <c r="T97" s="41">
        <v>0.47599999999999998</v>
      </c>
      <c r="U97" s="41">
        <v>0.47599999999999998</v>
      </c>
      <c r="V97" s="41">
        <v>0.47099999999999997</v>
      </c>
      <c r="W97" s="41">
        <v>0.46800000000000003</v>
      </c>
      <c r="X97" s="71"/>
    </row>
    <row r="98" spans="2:32" ht="12.75">
      <c r="B98" s="64"/>
      <c r="C98" s="20"/>
      <c r="D98" s="20" t="s">
        <v>25</v>
      </c>
      <c r="E98" s="46">
        <v>0.3</v>
      </c>
      <c r="F98" s="46">
        <v>0.29599999999999999</v>
      </c>
      <c r="G98" s="46">
        <v>0.28399999999999997</v>
      </c>
      <c r="H98" s="46">
        <v>0.28000000000000003</v>
      </c>
      <c r="I98" s="46">
        <v>0.27</v>
      </c>
      <c r="J98" s="46">
        <v>0.28000000000000003</v>
      </c>
      <c r="K98" s="46">
        <v>0.28000000000000003</v>
      </c>
      <c r="L98" s="71"/>
      <c r="N98" s="64"/>
      <c r="O98" s="20"/>
      <c r="P98" s="20" t="s">
        <v>25</v>
      </c>
      <c r="Q98" s="46">
        <v>0.26</v>
      </c>
      <c r="R98" s="46">
        <v>0.25600000000000001</v>
      </c>
      <c r="S98" s="46">
        <v>0.254</v>
      </c>
      <c r="T98" s="46">
        <v>0.254</v>
      </c>
      <c r="U98" s="46">
        <v>0.254</v>
      </c>
      <c r="V98" s="46">
        <v>0.26</v>
      </c>
      <c r="W98" s="46">
        <v>0.26</v>
      </c>
      <c r="X98" s="71"/>
    </row>
    <row r="99" spans="2:32" ht="12.75">
      <c r="B99" s="64"/>
      <c r="C99" s="4" t="s">
        <v>48</v>
      </c>
      <c r="D99" s="4" t="s">
        <v>29</v>
      </c>
      <c r="E99" s="41">
        <v>0.59599999999999997</v>
      </c>
      <c r="F99" s="41">
        <v>0.59899999999999998</v>
      </c>
      <c r="G99" s="41">
        <f>((G26*G8)+(G65*G47))/G83</f>
        <v>0.66976818549624706</v>
      </c>
      <c r="H99" s="41">
        <f>((H26*H8)+(H65*H47))/H83</f>
        <v>0.69774419465710236</v>
      </c>
      <c r="I99" s="41">
        <f>((I26*I8)+(I65*I47))/I83</f>
        <v>0.71654420672117858</v>
      </c>
      <c r="J99" s="41">
        <f>((J26*J8)+(J65*J47))/J83</f>
        <v>0.73216044680859971</v>
      </c>
      <c r="K99" s="41">
        <f>((K26*K8)+(K65*K47))/K83</f>
        <v>0.71272551111869908</v>
      </c>
      <c r="L99" s="71"/>
      <c r="N99" s="64"/>
      <c r="O99" s="4" t="s">
        <v>48</v>
      </c>
      <c r="P99" s="4" t="s">
        <v>29</v>
      </c>
      <c r="Q99" s="41">
        <v>0.67600000000000005</v>
      </c>
      <c r="R99" s="41">
        <v>0.68</v>
      </c>
      <c r="S99" s="72">
        <f>((S26*S8)+(S65*S47))/S83</f>
        <v>0.73160032592247703</v>
      </c>
      <c r="T99" s="41">
        <f>((T26*T8)+(T65*T47))/T83</f>
        <v>0.75212702903088802</v>
      </c>
      <c r="U99" s="41">
        <f>((U26*U8)+(U65*U47))/U83</f>
        <v>0.75956910882880568</v>
      </c>
      <c r="V99" s="41">
        <f>((V26*V8)+(V65*V47))/V83</f>
        <v>0.77437116311647658</v>
      </c>
      <c r="W99" s="41">
        <f>((W26*W8)+(W65*W47))/W83</f>
        <v>0.76297311128222245</v>
      </c>
      <c r="X99" s="71"/>
    </row>
    <row r="100" spans="2:32" ht="12.75">
      <c r="B100" s="64"/>
      <c r="C100" s="73" t="s">
        <v>49</v>
      </c>
      <c r="D100" s="4" t="s">
        <v>30</v>
      </c>
      <c r="E100" s="13">
        <v>4289</v>
      </c>
      <c r="F100" s="13">
        <v>4413</v>
      </c>
      <c r="G100" s="13">
        <f>((G27*G8)+(G66*G47))/G83</f>
        <v>5147.0734165085523</v>
      </c>
      <c r="H100" s="13">
        <f>((H27*H8)+(H66*H47))/H83</f>
        <v>5211.6996081127072</v>
      </c>
      <c r="I100" s="13">
        <f>((I27*I8)+(I66*I47))/I83</f>
        <v>6141.8325698695508</v>
      </c>
      <c r="J100" s="13">
        <f>((J27*J8)+(J66*J47))/J83</f>
        <v>6760.3885102473851</v>
      </c>
      <c r="K100" s="13">
        <f>((K27*K8)+(K66*K47))/K83</f>
        <v>7457.2139701224987</v>
      </c>
      <c r="L100" s="36"/>
      <c r="N100" s="64"/>
      <c r="O100" s="73" t="s">
        <v>49</v>
      </c>
      <c r="P100" s="4" t="s">
        <v>30</v>
      </c>
      <c r="Q100" s="13">
        <v>6420</v>
      </c>
      <c r="R100" s="13">
        <v>6577</v>
      </c>
      <c r="S100" s="13">
        <f>((S27*S8)+(S66*S47))/S83</f>
        <v>7042.9701303845113</v>
      </c>
      <c r="T100" s="13">
        <f>((T27*T8)+(T66*T47))/T83</f>
        <v>6613.1376247795515</v>
      </c>
      <c r="U100" s="13">
        <f>((U27*U8)+(U66*U47))/U83</f>
        <v>7489.1351496387142</v>
      </c>
      <c r="V100" s="13">
        <f>((V27*V8)+(V66*V47))/V83</f>
        <v>7983.5278352766691</v>
      </c>
      <c r="W100" s="13">
        <f>((W27*W8)+(W66*W47))/W83</f>
        <v>8849.7494320729402</v>
      </c>
      <c r="X100" s="36"/>
    </row>
    <row r="101" spans="2:32" ht="12.75">
      <c r="B101" s="64"/>
      <c r="C101" s="4"/>
      <c r="D101" s="4" t="s">
        <v>31</v>
      </c>
      <c r="E101" s="41">
        <v>0.85799999999999998</v>
      </c>
      <c r="F101" s="41">
        <v>0.83899999999999997</v>
      </c>
      <c r="G101" s="41">
        <f>((G28*G8)+(G67*G47))/G83</f>
        <v>0.87336255545634645</v>
      </c>
      <c r="H101" s="41">
        <f>((H28*H8)+(H67*H47))/H83</f>
        <v>0.87647528077701276</v>
      </c>
      <c r="I101" s="41">
        <f>((I28*I8)+(I67*I47))/I83</f>
        <v>0.88650553515944563</v>
      </c>
      <c r="J101" s="41">
        <f>((J28*J8)+(J67*J47))/J83</f>
        <v>0.88765756113485039</v>
      </c>
      <c r="K101" s="41">
        <f>((K28*K8)+(K67*K47))/K83</f>
        <v>0.87241233087199632</v>
      </c>
      <c r="L101" s="71"/>
      <c r="N101" s="64"/>
      <c r="O101" s="4"/>
      <c r="P101" s="4" t="s">
        <v>31</v>
      </c>
      <c r="Q101" s="41">
        <v>0.877</v>
      </c>
      <c r="R101" s="41">
        <v>0.87</v>
      </c>
      <c r="S101" s="41">
        <f>((S28*S8)+(S67*S47))/S83</f>
        <v>0.91109679121561338</v>
      </c>
      <c r="T101" s="41">
        <f>((T28*T8)+(T67*T47))/T83</f>
        <v>0.90697488500658652</v>
      </c>
      <c r="U101" s="41">
        <f>((U28*U8)+(U67*U47))/U83</f>
        <v>0.91313821765761138</v>
      </c>
      <c r="V101" s="41">
        <f>((V28*V8)+(V67*V47))/V83</f>
        <v>0.91177232087676652</v>
      </c>
      <c r="W101" s="41">
        <f>((W28*W8)+(W67*W47))/W83</f>
        <v>0.90381055923899334</v>
      </c>
      <c r="X101" s="71"/>
    </row>
    <row r="102" spans="2:32" ht="12.75">
      <c r="B102" s="64"/>
      <c r="C102" s="20"/>
      <c r="D102" s="20" t="s">
        <v>32</v>
      </c>
      <c r="E102" s="39">
        <v>21530</v>
      </c>
      <c r="F102" s="39">
        <v>22032</v>
      </c>
      <c r="G102" s="39">
        <f>((G29*G8)+(G47*G68))/G83</f>
        <v>26076.142648371886</v>
      </c>
      <c r="H102" s="39">
        <f>((H29*H8)+(H47*H68))/H83</f>
        <v>26413.633686509613</v>
      </c>
      <c r="I102" s="39">
        <f>((I29*I8)+(I47*I68))/I83</f>
        <v>27264.386933235539</v>
      </c>
      <c r="J102" s="39">
        <f>((J29*J8)+(J47*J68))/J83</f>
        <v>27945.145924273558</v>
      </c>
      <c r="K102" s="39">
        <f>((K29*K8)+(K47*K68))/K83</f>
        <v>28199.039502326177</v>
      </c>
      <c r="L102" s="36"/>
      <c r="N102" s="64"/>
      <c r="O102" s="4"/>
      <c r="P102" s="20" t="s">
        <v>32</v>
      </c>
      <c r="Q102" s="39">
        <v>25874</v>
      </c>
      <c r="R102" s="39">
        <v>26247</v>
      </c>
      <c r="S102" s="39">
        <f>((S29*S8)+(S47*S68))/S83</f>
        <v>30456.180692973267</v>
      </c>
      <c r="T102" s="39">
        <f>((T29*T8)+(T47*T68))/T83</f>
        <v>29746.598016138669</v>
      </c>
      <c r="U102" s="39">
        <f>((U29*U8)+(U47*U68))/U83</f>
        <v>29828.926778018398</v>
      </c>
      <c r="V102" s="39">
        <f>((V29*V8)+(V47*V68))/V83</f>
        <v>30385.458221746117</v>
      </c>
      <c r="W102" s="39">
        <f>((W29*W8)+(W47*W68))/W83</f>
        <v>30707.724905112671</v>
      </c>
      <c r="X102" s="36"/>
    </row>
    <row r="103" spans="2:32" ht="12.75">
      <c r="B103" s="64"/>
      <c r="C103" s="17" t="s">
        <v>40</v>
      </c>
      <c r="D103" s="4" t="s">
        <v>61</v>
      </c>
      <c r="E103" s="41">
        <v>0.65</v>
      </c>
      <c r="F103" s="41">
        <v>0.65200000000000002</v>
      </c>
      <c r="G103" s="41">
        <f>((G35*G8)+(G47*G69))/G83</f>
        <v>0.61310768645888558</v>
      </c>
      <c r="H103" s="41">
        <f>((H35*H8)+(H47*H69))/H83</f>
        <v>0.60194494414379374</v>
      </c>
      <c r="I103" s="41">
        <f>((I35*I8)+(I47*I69))/I83</f>
        <v>0.60178450155355223</v>
      </c>
      <c r="J103" s="41">
        <f>((J35*J8)+(J47*J69))/J83</f>
        <v>0.60045363460967027</v>
      </c>
      <c r="K103" s="41">
        <f>((K35*K8)+(K47*K69))/K83</f>
        <v>0.58999033249391775</v>
      </c>
      <c r="L103" s="71"/>
      <c r="N103" s="64"/>
      <c r="O103" s="17" t="s">
        <v>40</v>
      </c>
      <c r="P103" s="4" t="s">
        <v>61</v>
      </c>
      <c r="Q103" s="41">
        <v>0.56000000000000005</v>
      </c>
      <c r="R103" s="41">
        <v>0.56299999999999994</v>
      </c>
      <c r="S103" s="41">
        <f>((S35*S8)+(S47*S69))/S83</f>
        <v>0.53306525433593299</v>
      </c>
      <c r="T103" s="41">
        <f>((T35*T8)+(T47*T69))/T83</f>
        <v>0.53703472477163283</v>
      </c>
      <c r="U103" s="41">
        <f>((U35*U8)+(U47*U69))/U83</f>
        <v>0.55107477290107698</v>
      </c>
      <c r="V103" s="41">
        <f>((V35*V8)+(V47*V69))/V83</f>
        <v>0.55489264966420826</v>
      </c>
      <c r="W103" s="41">
        <f>((W35*W8)+(W47*W69))/W83</f>
        <v>0.54368491955871434</v>
      </c>
      <c r="X103" s="71"/>
      <c r="AB103" s="11"/>
      <c r="AC103" s="11"/>
      <c r="AD103" s="11"/>
      <c r="AE103" s="11"/>
      <c r="AF103" s="11"/>
    </row>
    <row r="104" spans="2:32" ht="12.75">
      <c r="B104" s="64"/>
      <c r="C104" s="4"/>
      <c r="D104" s="4" t="s">
        <v>41</v>
      </c>
      <c r="E104" s="13">
        <v>887</v>
      </c>
      <c r="F104" s="13">
        <v>886</v>
      </c>
      <c r="G104" s="13">
        <v>1112</v>
      </c>
      <c r="H104" s="13">
        <v>1153</v>
      </c>
      <c r="I104" s="13">
        <v>1189</v>
      </c>
      <c r="J104" s="13">
        <v>1201</v>
      </c>
      <c r="K104" s="13">
        <v>1274</v>
      </c>
      <c r="L104" s="36"/>
      <c r="N104" s="64"/>
      <c r="O104" s="4"/>
      <c r="P104" s="4" t="s">
        <v>41</v>
      </c>
      <c r="Q104" s="13">
        <v>1193</v>
      </c>
      <c r="R104" s="13">
        <v>1200</v>
      </c>
      <c r="S104" s="13">
        <v>1416</v>
      </c>
      <c r="T104" s="13">
        <v>1391</v>
      </c>
      <c r="U104" s="13">
        <v>1390</v>
      </c>
      <c r="V104" s="13">
        <v>1369</v>
      </c>
      <c r="W104" s="13">
        <v>1434</v>
      </c>
      <c r="X104" s="36"/>
      <c r="AB104" s="11"/>
      <c r="AC104" s="11"/>
      <c r="AD104" s="11"/>
      <c r="AE104" s="11"/>
      <c r="AF104" s="11"/>
    </row>
    <row r="105" spans="2:32" ht="12.75">
      <c r="B105" s="64"/>
      <c r="C105" s="20"/>
      <c r="D105" s="20" t="s">
        <v>50</v>
      </c>
      <c r="E105" s="39">
        <v>2800</v>
      </c>
      <c r="F105" s="39">
        <v>2802</v>
      </c>
      <c r="G105" s="39">
        <v>3166</v>
      </c>
      <c r="H105" s="39">
        <v>3219</v>
      </c>
      <c r="I105" s="39">
        <v>3264</v>
      </c>
      <c r="J105" s="39">
        <v>3265</v>
      </c>
      <c r="K105" s="39">
        <v>3352</v>
      </c>
      <c r="L105" s="36"/>
      <c r="N105" s="64"/>
      <c r="O105" s="20"/>
      <c r="P105" s="20" t="s">
        <v>50</v>
      </c>
      <c r="Q105" s="39">
        <v>3285</v>
      </c>
      <c r="R105" s="39">
        <v>3299</v>
      </c>
      <c r="S105" s="39">
        <v>3652</v>
      </c>
      <c r="T105" s="39">
        <v>3593</v>
      </c>
      <c r="U105" s="39">
        <v>3574</v>
      </c>
      <c r="V105" s="39">
        <v>3516</v>
      </c>
      <c r="W105" s="39">
        <v>3584</v>
      </c>
      <c r="X105" s="36"/>
      <c r="AB105" s="11"/>
      <c r="AC105" s="11"/>
      <c r="AD105" s="11"/>
      <c r="AE105" s="11"/>
      <c r="AF105" s="11"/>
    </row>
    <row r="106" spans="2:32" ht="12.75">
      <c r="B106" s="64"/>
      <c r="C106" s="4" t="s">
        <v>33</v>
      </c>
      <c r="D106" s="4" t="s">
        <v>34</v>
      </c>
      <c r="E106" s="14">
        <v>3.1</v>
      </c>
      <c r="F106" s="14">
        <v>3.09</v>
      </c>
      <c r="G106" s="14">
        <f>((G30*G8)+(G47*G72))/G83</f>
        <v>3.2034763107229556</v>
      </c>
      <c r="H106" s="14">
        <f>((H30*H8)+(H47*H72))/H83</f>
        <v>3.1822471884899191</v>
      </c>
      <c r="I106" s="14">
        <f>((I30*I8)+(I47*I72))/I83</f>
        <v>3.2407921302807678</v>
      </c>
      <c r="J106" s="14">
        <f>((J30*J8)+(J47*J72))/J83</f>
        <v>3.2556367943282596</v>
      </c>
      <c r="K106" s="14">
        <f>((K30*K8)+(K47*K72))/K83</f>
        <v>3.2120918519783173</v>
      </c>
      <c r="L106" s="74"/>
      <c r="N106" s="64"/>
      <c r="O106" s="4" t="s">
        <v>33</v>
      </c>
      <c r="P106" s="4" t="s">
        <v>34</v>
      </c>
      <c r="Q106" s="14">
        <v>3.3</v>
      </c>
      <c r="R106" s="14">
        <v>3.3679999999999999</v>
      </c>
      <c r="S106" s="14">
        <v>3.4</v>
      </c>
      <c r="T106" s="14">
        <f>((T30*T8)+(T47*T72))/T83</f>
        <v>3.3923927987849209</v>
      </c>
      <c r="U106" s="14">
        <f>((U30*U8)+(U47*U72))/U83</f>
        <v>3.3592522709892294</v>
      </c>
      <c r="V106" s="14">
        <f>((V30*V8)+(V47*V72))/V83</f>
        <v>3.3748465246590582</v>
      </c>
      <c r="W106" s="14">
        <f>((W30*W8)+(W47*W72))/W83</f>
        <v>3.380493754812508</v>
      </c>
      <c r="X106" s="74"/>
    </row>
    <row r="107" spans="2:32" ht="12.75">
      <c r="B107" s="64"/>
      <c r="D107" s="4" t="s">
        <v>35</v>
      </c>
      <c r="E107" s="14">
        <v>1.2</v>
      </c>
      <c r="F107" s="14">
        <v>1.24</v>
      </c>
      <c r="G107" s="14">
        <f>((G31*G8)+(G47*G73))/G83</f>
        <v>1.2594369960099334</v>
      </c>
      <c r="H107" s="14">
        <f>((H31*H8)+(H47*H73))/H83</f>
        <v>1.2637078647483198</v>
      </c>
      <c r="I107" s="14">
        <f>((I31*I8)+(I47*I73))/I83</f>
        <v>1.2660221406377825</v>
      </c>
      <c r="J107" s="14">
        <f>((J31*J8)+(J47*J73))/J83</f>
        <v>1.2686417872343987</v>
      </c>
      <c r="K107" s="14">
        <f>((K31*K8)+(K47*K73))/K83</f>
        <v>1.212454650219813</v>
      </c>
      <c r="L107" s="74"/>
      <c r="N107" s="64"/>
      <c r="P107" s="4" t="s">
        <v>35</v>
      </c>
      <c r="Q107" s="4">
        <v>1.4</v>
      </c>
      <c r="R107" s="4">
        <v>1.3</v>
      </c>
      <c r="S107" s="16">
        <v>1.3</v>
      </c>
      <c r="T107" s="14">
        <f>((T31*T8)+(T47*T73))/T83</f>
        <v>1.3040620208607769</v>
      </c>
      <c r="U107" s="14">
        <f>((U31*U8)+(U47*U73))/U83</f>
        <v>1.2988293059456677</v>
      </c>
      <c r="V107" s="14">
        <f>((V31*V8)+(V47*V73))/V83</f>
        <v>1.2958077541098432</v>
      </c>
      <c r="W107" s="14">
        <f>((W31*W8)+(W47*W73))/W83</f>
        <v>1.296748959135418</v>
      </c>
      <c r="X107" s="74"/>
    </row>
    <row r="108" spans="2:32" ht="13.5" thickBot="1">
      <c r="B108" s="54"/>
      <c r="C108" s="55"/>
      <c r="D108" s="55"/>
      <c r="E108" s="55"/>
      <c r="F108" s="56"/>
      <c r="G108" s="56"/>
      <c r="H108" s="56"/>
      <c r="I108" s="56"/>
      <c r="J108" s="55"/>
      <c r="K108" s="55"/>
      <c r="L108" s="58"/>
      <c r="N108" s="54"/>
      <c r="O108" s="55"/>
      <c r="P108" s="55"/>
      <c r="Q108" s="56"/>
      <c r="R108" s="56"/>
      <c r="S108" s="56"/>
      <c r="T108" s="56"/>
      <c r="U108" s="57"/>
      <c r="V108" s="55"/>
      <c r="W108" s="55"/>
      <c r="X108" s="58"/>
    </row>
    <row r="109" spans="2:32" ht="12" thickTop="1">
      <c r="B109" s="21"/>
      <c r="F109" s="23"/>
      <c r="G109" s="23"/>
      <c r="H109" s="23"/>
      <c r="I109" s="23"/>
      <c r="O109" s="11"/>
      <c r="P109" s="11"/>
      <c r="Q109" s="11"/>
      <c r="R109" s="11"/>
      <c r="S109" s="11"/>
    </row>
    <row r="110" spans="2:32" ht="12">
      <c r="B110" s="5" t="s">
        <v>51</v>
      </c>
      <c r="E110" s="77"/>
      <c r="F110" s="78"/>
      <c r="N110" s="5" t="s">
        <v>51</v>
      </c>
      <c r="P110" s="11"/>
      <c r="Q110" s="11"/>
      <c r="R110" s="11"/>
      <c r="S110" s="11"/>
    </row>
    <row r="111" spans="2:32">
      <c r="O111" s="11"/>
      <c r="P111" s="11"/>
      <c r="Q111" s="11"/>
      <c r="R111" s="11"/>
      <c r="S111" s="11"/>
    </row>
    <row r="115" spans="15:32">
      <c r="AB115" s="11"/>
      <c r="AC115" s="11"/>
      <c r="AD115" s="11"/>
      <c r="AE115" s="11"/>
      <c r="AF115" s="11"/>
    </row>
    <row r="116" spans="15:32">
      <c r="AB116" s="11"/>
      <c r="AC116" s="11"/>
      <c r="AD116" s="11"/>
      <c r="AE116" s="11"/>
      <c r="AF116" s="11"/>
    </row>
    <row r="117" spans="15:32">
      <c r="O117" s="11"/>
      <c r="R117" s="11"/>
      <c r="S117" s="11"/>
      <c r="AB117" s="11"/>
      <c r="AC117" s="11"/>
      <c r="AD117" s="11"/>
      <c r="AE117" s="11"/>
      <c r="AF117" s="11"/>
    </row>
    <row r="118" spans="15:32">
      <c r="O118" s="11"/>
      <c r="P118" s="11"/>
      <c r="Q118" s="11"/>
      <c r="R118" s="11"/>
      <c r="S118" s="11"/>
    </row>
    <row r="119" spans="15:32">
      <c r="O119" s="11"/>
      <c r="P119" s="11"/>
      <c r="Q119" s="11"/>
      <c r="R119" s="11"/>
      <c r="S119" s="11"/>
    </row>
    <row r="120" spans="15:32">
      <c r="O120" s="11"/>
      <c r="P120" s="11"/>
      <c r="Q120" s="11"/>
      <c r="R120" s="11"/>
      <c r="S120" s="11"/>
    </row>
    <row r="121" spans="15:32">
      <c r="O121" s="11"/>
      <c r="P121" s="11"/>
      <c r="Q121" s="11"/>
      <c r="R121" s="11"/>
      <c r="S121" s="11"/>
    </row>
    <row r="124" spans="15:32">
      <c r="AB124" s="11"/>
      <c r="AE124" s="11"/>
      <c r="AF124" s="11"/>
    </row>
    <row r="125" spans="15:32">
      <c r="AB125" s="11"/>
      <c r="AC125" s="11"/>
      <c r="AD125" s="11"/>
      <c r="AE125" s="11"/>
      <c r="AF125" s="11"/>
    </row>
    <row r="126" spans="15:32">
      <c r="AB126" s="11"/>
      <c r="AC126" s="11"/>
      <c r="AD126" s="11"/>
      <c r="AE126" s="11"/>
      <c r="AF126" s="11"/>
    </row>
    <row r="127" spans="15:32">
      <c r="AB127" s="11"/>
      <c r="AC127" s="11"/>
      <c r="AD127" s="11"/>
      <c r="AE127" s="11"/>
      <c r="AF127" s="11"/>
    </row>
    <row r="128" spans="15:32">
      <c r="AB128" s="11"/>
      <c r="AC128" s="11"/>
      <c r="AD128" s="11"/>
      <c r="AE128" s="11"/>
      <c r="AF128" s="11"/>
    </row>
  </sheetData>
  <mergeCells count="1">
    <mergeCell ref="E110:F110"/>
  </mergeCells>
  <pageMargins left="0.7" right="0.7" top="0.75" bottom="0.75" header="0.3" footer="0.3"/>
  <pageSetup scale="96" orientation="landscape"/>
  <rowBreaks count="2" manualBreakCount="2">
    <brk id="39" max="16383" man="1"/>
    <brk id="76" max="16383" man="1"/>
  </rowBreaks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2.6a-f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2024-02-01T23:16:34Z</cp:lastPrinted>
  <dcterms:created xsi:type="dcterms:W3CDTF">2022-12-13T16:21:35Z</dcterms:created>
  <dcterms:modified xsi:type="dcterms:W3CDTF">2024-02-07T23:19:07Z</dcterms:modified>
</cp:coreProperties>
</file>